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3\Thema 6 biomass combustion\"/>
    </mc:Choice>
  </mc:AlternateContent>
  <bookViews>
    <workbookView xWindow="10230" yWindow="-20" windowWidth="10280" windowHeight="8180"/>
  </bookViews>
  <sheets>
    <sheet name="sheet1" sheetId="11" r:id="rId1"/>
  </sheets>
  <definedNames>
    <definedName name="solver_adj" localSheetId="0" hidden="1">sheet1!$B$42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sheet1!$B$46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62913"/>
</workbook>
</file>

<file path=xl/calcChain.xml><?xml version="1.0" encoding="utf-8"?>
<calcChain xmlns="http://schemas.openxmlformats.org/spreadsheetml/2006/main">
  <c r="K31" i="11" l="1"/>
  <c r="B22" i="11" l="1"/>
  <c r="K35" i="11"/>
  <c r="K32" i="11"/>
  <c r="K30" i="11"/>
  <c r="K36" i="11" l="1"/>
  <c r="K37" i="11" s="1"/>
  <c r="K38" i="11" s="1"/>
  <c r="K39" i="11" s="1"/>
  <c r="K33" i="11"/>
  <c r="F17" i="11"/>
  <c r="B23" i="11"/>
  <c r="B26" i="11" s="1"/>
  <c r="F18" i="11" s="1"/>
  <c r="B25" i="11"/>
  <c r="B40" i="11" s="1"/>
  <c r="B18" i="11"/>
  <c r="B24" i="11" s="1"/>
  <c r="B27" i="11" s="1"/>
  <c r="F19" i="11" l="1"/>
  <c r="F15" i="11"/>
  <c r="F16" i="11" s="1"/>
  <c r="F20" i="11" l="1"/>
  <c r="B31" i="11" l="1"/>
  <c r="B32" i="11" s="1"/>
  <c r="B41" i="11"/>
  <c r="B43" i="11" l="1"/>
  <c r="B36" i="11"/>
  <c r="B30" i="11"/>
  <c r="B34" i="11" s="1"/>
  <c r="B33" i="11"/>
  <c r="B44" i="11" s="1"/>
  <c r="F42" i="11"/>
  <c r="B45" i="11" l="1"/>
  <c r="B46" i="11" s="1"/>
  <c r="B35" i="11"/>
  <c r="B37" i="11" s="1"/>
  <c r="K34" i="11" s="1"/>
  <c r="F43" i="11"/>
  <c r="F44" i="11"/>
  <c r="K42" i="11" l="1"/>
  <c r="K41" i="11"/>
  <c r="K44" i="11"/>
  <c r="F45" i="11"/>
  <c r="K46" i="11" l="1"/>
  <c r="K43" i="11"/>
  <c r="K45" i="11" l="1"/>
  <c r="K47" i="11" s="1"/>
</calcChain>
</file>

<file path=xl/sharedStrings.xml><?xml version="1.0" encoding="utf-8"?>
<sst xmlns="http://schemas.openxmlformats.org/spreadsheetml/2006/main" count="139" uniqueCount="93">
  <si>
    <t>%</t>
  </si>
  <si>
    <t>Β</t>
  </si>
  <si>
    <t>Γ</t>
  </si>
  <si>
    <t>Δ</t>
  </si>
  <si>
    <t>Η</t>
  </si>
  <si>
    <t>οC</t>
  </si>
  <si>
    <t>H</t>
  </si>
  <si>
    <t>C</t>
  </si>
  <si>
    <t>O</t>
  </si>
  <si>
    <t>mol/kg</t>
  </si>
  <si>
    <t>kJ/kg</t>
  </si>
  <si>
    <t>ΑΘΔ βιομάζας</t>
  </si>
  <si>
    <t>Υγρασία</t>
  </si>
  <si>
    <t>mol/kg βιομάζας</t>
  </si>
  <si>
    <t>kJ/kg βιομάζας</t>
  </si>
  <si>
    <t>kJ/kg ξ. βιομάζας</t>
  </si>
  <si>
    <t>Παραγόμενη υγρασία</t>
  </si>
  <si>
    <t>Ολική υγρασία</t>
  </si>
  <si>
    <t>ΚΘΔ βιομάζας</t>
  </si>
  <si>
    <t>Οξυγόνο για πλ. Καύση</t>
  </si>
  <si>
    <t>Τροφοδοσία Οξυγόνου</t>
  </si>
  <si>
    <t>CO2</t>
  </si>
  <si>
    <t>H2O</t>
  </si>
  <si>
    <t>O2</t>
  </si>
  <si>
    <t>N2</t>
  </si>
  <si>
    <t>Q</t>
  </si>
  <si>
    <t>h1</t>
  </si>
  <si>
    <t>h2</t>
  </si>
  <si>
    <t>win</t>
  </si>
  <si>
    <t>h4</t>
  </si>
  <si>
    <t>h4s</t>
  </si>
  <si>
    <t>wout</t>
  </si>
  <si>
    <t>ΑΘΔ ξετ βιομάζας</t>
  </si>
  <si>
    <t>ξετ βιομάζα</t>
  </si>
  <si>
    <t>Τροφοδοσία Αζώτου</t>
  </si>
  <si>
    <t>% CO</t>
  </si>
  <si>
    <t>Απαέρια</t>
  </si>
  <si>
    <t>Παραγόμενη θερμότητα</t>
  </si>
  <si>
    <t>Απώλειες καυσαερίων</t>
  </si>
  <si>
    <t>Λανθάνουσα θερμότητα</t>
  </si>
  <si>
    <t>Ωφέλιμη θερμότητα</t>
  </si>
  <si>
    <t>Ατμός στροβίλου</t>
  </si>
  <si>
    <t>Wout</t>
  </si>
  <si>
    <t>Win</t>
  </si>
  <si>
    <t>Wel</t>
  </si>
  <si>
    <t>nel</t>
  </si>
  <si>
    <t>nth</t>
  </si>
  <si>
    <t>ncogen</t>
  </si>
  <si>
    <t>N</t>
  </si>
  <si>
    <t>Α</t>
  </si>
  <si>
    <t>Ο</t>
  </si>
  <si>
    <t>Τέφρα</t>
  </si>
  <si>
    <t>Βιομάζα</t>
  </si>
  <si>
    <t xml:space="preserve">gr/kg </t>
  </si>
  <si>
    <t>wins</t>
  </si>
  <si>
    <t>x4s</t>
  </si>
  <si>
    <t>wouts</t>
  </si>
  <si>
    <t>περίσσεια αέρα</t>
  </si>
  <si>
    <t xml:space="preserve">% </t>
  </si>
  <si>
    <t>μονοξείδιο στα καυσαέρια</t>
  </si>
  <si>
    <t>Συνολικά</t>
  </si>
  <si>
    <t>ΟΜΑΔΑ</t>
  </si>
  <si>
    <t>ΘΕΜΑ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</si>
  <si>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</si>
  <si>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</si>
  <si>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ΦΟΙΤΗΤΗΣ 1</t>
  </si>
  <si>
    <t>ΦΟΙΤΗΤΗΣ 2</t>
  </si>
  <si>
    <t>Όνομα</t>
  </si>
  <si>
    <t>Επώνυμο</t>
  </si>
  <si>
    <t>Αρ. Μητρώου (5 ψηφεία)</t>
  </si>
  <si>
    <t>ΔΕΔΟΜΕΝΑ</t>
  </si>
  <si>
    <t>δεδομένα από  ΘΕΜΑ 6</t>
  </si>
  <si>
    <t>Τ, οC</t>
  </si>
  <si>
    <t>P, bar</t>
  </si>
  <si>
    <t>vl, m3/kg</t>
  </si>
  <si>
    <t>hl, kJ/kg</t>
  </si>
  <si>
    <t>hv, kJ/kg</t>
  </si>
  <si>
    <t>sl, kJ/kgK</t>
  </si>
  <si>
    <t>sg, kJ/kgK</t>
  </si>
  <si>
    <t>Θερμ. σχημ. ξετ βιομάζας</t>
  </si>
  <si>
    <t>kJ/kg ξετ βιομ.</t>
  </si>
  <si>
    <t>mol O2/kg βιομ.</t>
  </si>
  <si>
    <t>kJ/kg βιομ.</t>
  </si>
  <si>
    <t>θερμοκρασία καυσαερίων</t>
  </si>
  <si>
    <t>ισεντρ. απ. στροβ./αντλίας</t>
  </si>
  <si>
    <t>Ατμοστρόβιλος</t>
  </si>
  <si>
    <t>kg/kg βιομ.</t>
  </si>
  <si>
    <t>Καυστήρας</t>
  </si>
  <si>
    <t>Θερμοδυναμικά Δεδομένα</t>
  </si>
  <si>
    <t>CO*</t>
  </si>
  <si>
    <t>* Το κελί Β42 υπολογίζεται με SOLVER, έτσι ώστε το κελί Β46 να γίνει 0.</t>
  </si>
  <si>
    <t>** Αν η σύσταση των απαερίων είναι σωστή, τα κελιά θα πρέπει να πάρουν αυτόματα την τιμή μηδέν.</t>
  </si>
  <si>
    <t>έλεγχος στοιχειακών ισοζυγίων μάζας**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</si>
</sst>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0.00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0" fillId="0" borderId="0" xfId="0" applyFill="1" applyAlignment="1">
      <alignment horizontal="right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1" fillId="3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" fillId="2" borderId="0" xfId="0" applyFont="1" applyFill="1" applyBorder="1" applyProtection="1"/>
    <xf numFmtId="164" fontId="1" fillId="3" borderId="0" xfId="0" applyNumberFormat="1" applyFont="1" applyFill="1" applyBorder="1" applyProtection="1">
      <protection locked="0"/>
    </xf>
    <xf numFmtId="165" fontId="1" fillId="3" borderId="0" xfId="0" applyNumberFormat="1" applyFont="1" applyFill="1" applyBorder="1" applyProtection="1"/>
    <xf numFmtId="2" fontId="1" fillId="3" borderId="0" xfId="0" applyNumberFormat="1" applyFont="1" applyFill="1" applyBorder="1" applyProtection="1"/>
    <xf numFmtId="43" fontId="1" fillId="3" borderId="0" xfId="1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0" fillId="0" borderId="0" xfId="0" applyFill="1"/>
    <xf numFmtId="2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2" xfId="0" applyFont="1" applyFill="1" applyBorder="1"/>
    <xf numFmtId="0" fontId="1" fillId="3" borderId="3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2" borderId="7" xfId="0" applyFont="1" applyFill="1" applyBorder="1"/>
    <xf numFmtId="0" fontId="1" fillId="3" borderId="8" xfId="0" applyFont="1" applyFill="1" applyBorder="1" applyProtection="1">
      <protection locked="0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1" fillId="3" borderId="2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/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2" fontId="1" fillId="3" borderId="7" xfId="0" applyNumberFormat="1" applyFont="1" applyFill="1" applyBorder="1" applyProtection="1"/>
    <xf numFmtId="0" fontId="1" fillId="3" borderId="7" xfId="0" applyFont="1" applyFill="1" applyBorder="1" applyProtection="1"/>
    <xf numFmtId="0" fontId="1" fillId="3" borderId="8" xfId="0" applyFont="1" applyFill="1" applyBorder="1" applyProtection="1"/>
    <xf numFmtId="0" fontId="1" fillId="3" borderId="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Protection="1">
      <protection locked="0"/>
    </xf>
    <xf numFmtId="0" fontId="1" fillId="3" borderId="3" xfId="0" applyFont="1" applyFill="1" applyBorder="1" applyProtection="1"/>
    <xf numFmtId="0" fontId="0" fillId="4" borderId="0" xfId="0" applyFill="1"/>
    <xf numFmtId="0" fontId="0" fillId="3" borderId="0" xfId="0" applyFill="1"/>
    <xf numFmtId="165" fontId="1" fillId="3" borderId="7" xfId="0" applyNumberFormat="1" applyFont="1" applyFill="1" applyBorder="1" applyProtection="1"/>
    <xf numFmtId="43" fontId="1" fillId="3" borderId="2" xfId="1" applyFont="1" applyFill="1" applyBorder="1" applyProtection="1">
      <protection locked="0"/>
    </xf>
    <xf numFmtId="43" fontId="1" fillId="3" borderId="0" xfId="1" applyFont="1" applyFill="1" applyBorder="1" applyProtection="1">
      <protection locked="0"/>
    </xf>
    <xf numFmtId="1" fontId="0" fillId="0" borderId="0" xfId="0" applyNumberFormat="1" applyFill="1"/>
    <xf numFmtId="2" fontId="1" fillId="0" borderId="2" xfId="0" applyNumberFormat="1" applyFont="1" applyFill="1" applyBorder="1" applyProtection="1"/>
    <xf numFmtId="2" fontId="1" fillId="0" borderId="0" xfId="0" applyNumberFormat="1" applyFont="1" applyFill="1" applyBorder="1" applyProtection="1"/>
    <xf numFmtId="2" fontId="1" fillId="0" borderId="7" xfId="0" applyNumberFormat="1" applyFont="1" applyFill="1" applyBorder="1" applyProtection="1"/>
    <xf numFmtId="43" fontId="1" fillId="0" borderId="2" xfId="1" applyFont="1" applyFill="1" applyBorder="1" applyProtection="1"/>
    <xf numFmtId="43" fontId="1" fillId="0" borderId="0" xfId="1" applyFont="1" applyFill="1" applyBorder="1" applyProtection="1"/>
    <xf numFmtId="43" fontId="1" fillId="0" borderId="7" xfId="1" applyFont="1" applyFill="1" applyBorder="1" applyProtection="1"/>
    <xf numFmtId="0" fontId="1" fillId="3" borderId="7" xfId="0" applyFont="1" applyFill="1" applyBorder="1" applyAlignment="1" applyProtection="1">
      <alignment horizontal="right"/>
    </xf>
    <xf numFmtId="43" fontId="1" fillId="3" borderId="7" xfId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tabSelected="1" topLeftCell="A14" zoomScale="50" zoomScaleNormal="50" workbookViewId="0">
      <selection activeCell="K18" sqref="K18"/>
    </sheetView>
  </sheetViews>
  <sheetFormatPr defaultRowHeight="14.5" x14ac:dyDescent="0.35"/>
  <cols>
    <col min="1" max="1" width="25.7265625" customWidth="1"/>
    <col min="2" max="2" width="14.7265625" customWidth="1"/>
    <col min="4" max="4" width="14" customWidth="1"/>
    <col min="5" max="5" width="11" customWidth="1"/>
    <col min="6" max="6" width="15.81640625" customWidth="1"/>
    <col min="7" max="7" width="11.1796875" customWidth="1"/>
    <col min="8" max="8" width="12.453125" customWidth="1"/>
    <col min="10" max="10" width="11" customWidth="1"/>
    <col min="11" max="11" width="17.453125" customWidth="1"/>
    <col min="12" max="12" width="19.26953125" customWidth="1"/>
    <col min="15" max="15" width="2.54296875" customWidth="1"/>
    <col min="16" max="17" width="9.1796875" style="17"/>
    <col min="18" max="18" width="8.7265625" style="2" customWidth="1"/>
    <col min="19" max="20" width="10.7265625" style="17" bestFit="1" customWidth="1"/>
  </cols>
  <sheetData>
    <row r="1" spans="1:23" x14ac:dyDescent="0.35">
      <c r="A1" s="3" t="s">
        <v>62</v>
      </c>
      <c r="B1" s="4">
        <v>6</v>
      </c>
      <c r="C1" s="3"/>
      <c r="D1" s="5"/>
      <c r="E1" s="6" t="s">
        <v>63</v>
      </c>
      <c r="F1" s="6"/>
      <c r="G1" s="6"/>
      <c r="H1" s="6"/>
      <c r="I1" s="6"/>
      <c r="J1" s="6"/>
      <c r="K1" s="6"/>
      <c r="L1" s="6"/>
      <c r="M1" s="3"/>
      <c r="N1" s="3"/>
      <c r="O1" s="44"/>
      <c r="Q1" s="17" t="s">
        <v>61</v>
      </c>
      <c r="R1" s="17" t="s">
        <v>49</v>
      </c>
      <c r="S1" s="17" t="s">
        <v>1</v>
      </c>
      <c r="T1" s="17" t="s">
        <v>2</v>
      </c>
      <c r="U1" t="s">
        <v>3</v>
      </c>
    </row>
    <row r="2" spans="1:23" x14ac:dyDescent="0.35">
      <c r="A2" s="3" t="s">
        <v>61</v>
      </c>
      <c r="B2" s="7"/>
      <c r="C2" s="5"/>
      <c r="D2" s="5"/>
      <c r="E2" s="6" t="s">
        <v>64</v>
      </c>
      <c r="F2" s="6"/>
      <c r="G2" s="6"/>
      <c r="H2" s="6"/>
      <c r="I2" s="6"/>
      <c r="J2" s="6"/>
      <c r="K2" s="6"/>
      <c r="L2" s="6"/>
      <c r="M2" s="3"/>
      <c r="N2" s="3"/>
      <c r="O2" s="44"/>
      <c r="Q2" s="17">
        <v>1</v>
      </c>
      <c r="R2" s="17">
        <v>125</v>
      </c>
      <c r="S2" s="18">
        <v>0.2</v>
      </c>
      <c r="T2" s="49">
        <v>60</v>
      </c>
      <c r="U2" s="1">
        <v>75</v>
      </c>
      <c r="W2" s="1"/>
    </row>
    <row r="3" spans="1:23" x14ac:dyDescent="0.35">
      <c r="A3" s="3"/>
      <c r="B3" s="3" t="s">
        <v>65</v>
      </c>
      <c r="C3" s="3" t="s">
        <v>66</v>
      </c>
      <c r="D3" s="5"/>
      <c r="E3" s="6" t="s">
        <v>90</v>
      </c>
      <c r="F3" s="6"/>
      <c r="G3" s="6"/>
      <c r="H3" s="6"/>
      <c r="I3" s="6"/>
      <c r="J3" s="6"/>
      <c r="K3" s="6"/>
      <c r="L3" s="6"/>
      <c r="M3" s="3"/>
      <c r="N3" s="3"/>
      <c r="O3" s="44"/>
      <c r="Q3" s="17">
        <v>2</v>
      </c>
      <c r="R3" s="17">
        <v>126</v>
      </c>
      <c r="S3" s="18">
        <v>0.21</v>
      </c>
      <c r="T3" s="49">
        <v>55</v>
      </c>
      <c r="U3" s="1">
        <v>75.5</v>
      </c>
    </row>
    <row r="4" spans="1:23" x14ac:dyDescent="0.35">
      <c r="A4" s="3" t="s">
        <v>67</v>
      </c>
      <c r="B4" s="7"/>
      <c r="C4" s="7"/>
      <c r="D4" s="5"/>
      <c r="E4" s="6" t="s">
        <v>91</v>
      </c>
      <c r="F4" s="6"/>
      <c r="G4" s="6"/>
      <c r="H4" s="6"/>
      <c r="I4" s="6"/>
      <c r="J4" s="6"/>
      <c r="K4" s="6"/>
      <c r="L4" s="6"/>
      <c r="M4" s="3"/>
      <c r="N4" s="3"/>
      <c r="O4" s="44"/>
      <c r="Q4" s="17">
        <v>3</v>
      </c>
      <c r="R4" s="17">
        <v>127</v>
      </c>
      <c r="S4" s="18">
        <v>0.22</v>
      </c>
      <c r="T4" s="49">
        <v>50</v>
      </c>
      <c r="U4" s="1">
        <v>76</v>
      </c>
      <c r="W4" s="1"/>
    </row>
    <row r="5" spans="1:23" x14ac:dyDescent="0.35">
      <c r="A5" s="3" t="s">
        <v>68</v>
      </c>
      <c r="B5" s="7"/>
      <c r="C5" s="7"/>
      <c r="D5" s="5"/>
      <c r="E5" s="6"/>
      <c r="F5" s="6"/>
      <c r="G5" s="6"/>
      <c r="H5" s="6"/>
      <c r="I5" s="6"/>
      <c r="J5" s="6"/>
      <c r="K5" s="6"/>
      <c r="L5" s="6"/>
      <c r="M5" s="3"/>
      <c r="N5" s="3"/>
      <c r="O5" s="44"/>
      <c r="Q5" s="17">
        <v>4</v>
      </c>
      <c r="R5" s="17">
        <v>128</v>
      </c>
      <c r="S5" s="18">
        <v>0.23</v>
      </c>
      <c r="T5" s="49">
        <v>45</v>
      </c>
      <c r="U5" s="1">
        <v>76.5</v>
      </c>
    </row>
    <row r="6" spans="1:23" ht="15" thickBot="1" x14ac:dyDescent="0.4">
      <c r="A6" s="3" t="s">
        <v>69</v>
      </c>
      <c r="B6" s="7"/>
      <c r="C6" s="7"/>
      <c r="D6" s="5"/>
      <c r="E6" s="6" t="s">
        <v>88</v>
      </c>
      <c r="F6" s="6"/>
      <c r="G6" s="6"/>
      <c r="H6" s="6"/>
      <c r="I6" s="6"/>
      <c r="J6" s="6"/>
      <c r="K6" s="6"/>
      <c r="L6" s="6"/>
      <c r="M6" s="3"/>
      <c r="N6" s="3"/>
      <c r="O6" s="44"/>
      <c r="Q6" s="17">
        <v>5</v>
      </c>
      <c r="R6" s="17">
        <v>129</v>
      </c>
      <c r="S6" s="18">
        <v>0.24</v>
      </c>
      <c r="T6" s="49">
        <v>40</v>
      </c>
      <c r="U6" s="1">
        <v>77</v>
      </c>
      <c r="W6" s="1"/>
    </row>
    <row r="7" spans="1:23" x14ac:dyDescent="0.35">
      <c r="A7" s="3"/>
      <c r="B7" s="5"/>
      <c r="C7" s="5"/>
      <c r="D7" s="5"/>
      <c r="E7" s="39" t="s">
        <v>72</v>
      </c>
      <c r="F7" s="31">
        <v>80</v>
      </c>
      <c r="G7" s="31">
        <v>311</v>
      </c>
      <c r="H7" s="23">
        <v>500</v>
      </c>
      <c r="I7" s="6"/>
      <c r="J7" s="6"/>
      <c r="K7" s="6"/>
      <c r="L7" s="6"/>
      <c r="M7" s="3"/>
      <c r="N7" s="3"/>
      <c r="O7" s="44"/>
      <c r="Q7" s="17">
        <v>6</v>
      </c>
      <c r="R7" s="17">
        <v>130</v>
      </c>
      <c r="S7" s="18">
        <v>0.25</v>
      </c>
      <c r="T7" s="49">
        <v>35</v>
      </c>
      <c r="U7" s="1">
        <v>77.5</v>
      </c>
    </row>
    <row r="8" spans="1:23" ht="15" thickBot="1" x14ac:dyDescent="0.4">
      <c r="A8" s="3" t="s">
        <v>70</v>
      </c>
      <c r="B8" s="5"/>
      <c r="C8" s="5"/>
      <c r="D8" s="5"/>
      <c r="E8" s="40" t="s">
        <v>73</v>
      </c>
      <c r="F8" s="6">
        <v>0.47416000000000003</v>
      </c>
      <c r="G8" s="6">
        <v>100</v>
      </c>
      <c r="H8" s="25">
        <v>100</v>
      </c>
      <c r="I8" s="6"/>
      <c r="J8" s="6"/>
      <c r="K8" s="6"/>
      <c r="L8" s="6"/>
      <c r="M8" s="3"/>
      <c r="N8" s="3"/>
      <c r="O8" s="44"/>
      <c r="Q8" s="17">
        <v>7</v>
      </c>
      <c r="R8" s="17">
        <v>131</v>
      </c>
      <c r="S8" s="18">
        <v>0.26</v>
      </c>
      <c r="T8" s="49">
        <v>30</v>
      </c>
      <c r="U8" s="1">
        <v>78</v>
      </c>
    </row>
    <row r="9" spans="1:23" x14ac:dyDescent="0.35">
      <c r="A9" s="21" t="s">
        <v>57</v>
      </c>
      <c r="B9" s="22">
        <v>50</v>
      </c>
      <c r="C9" s="23" t="s">
        <v>58</v>
      </c>
      <c r="D9" s="6"/>
      <c r="E9" s="40" t="s">
        <v>74</v>
      </c>
      <c r="F9" s="6">
        <v>1.029E-3</v>
      </c>
      <c r="G9" s="6">
        <v>1.4519999999999999E-3</v>
      </c>
      <c r="H9" s="25"/>
      <c r="I9" s="6"/>
      <c r="J9" s="6"/>
      <c r="K9" s="6"/>
      <c r="L9" s="6"/>
      <c r="M9" s="3"/>
      <c r="N9" s="3"/>
      <c r="O9" s="44"/>
      <c r="Q9" s="17">
        <v>8</v>
      </c>
      <c r="R9" s="17">
        <v>132</v>
      </c>
      <c r="S9" s="18">
        <v>0.27</v>
      </c>
      <c r="T9" s="49">
        <v>35</v>
      </c>
      <c r="U9" s="1">
        <v>78.5</v>
      </c>
    </row>
    <row r="10" spans="1:23" x14ac:dyDescent="0.35">
      <c r="A10" s="24" t="s">
        <v>83</v>
      </c>
      <c r="B10" s="16">
        <v>137</v>
      </c>
      <c r="C10" s="25" t="s">
        <v>5</v>
      </c>
      <c r="D10" s="6"/>
      <c r="E10" s="40" t="s">
        <v>75</v>
      </c>
      <c r="F10" s="6">
        <v>335.02</v>
      </c>
      <c r="G10" s="6"/>
      <c r="H10" s="25"/>
      <c r="I10" s="6"/>
      <c r="J10" s="6"/>
      <c r="K10" s="6"/>
      <c r="L10" s="6"/>
      <c r="M10" s="3"/>
      <c r="N10" s="3"/>
      <c r="O10" s="44"/>
      <c r="Q10" s="17">
        <v>9</v>
      </c>
      <c r="R10" s="17">
        <v>133</v>
      </c>
      <c r="S10" s="18">
        <v>0.28000000000000003</v>
      </c>
      <c r="T10" s="49">
        <v>40</v>
      </c>
      <c r="U10" s="1">
        <v>79</v>
      </c>
    </row>
    <row r="11" spans="1:23" x14ac:dyDescent="0.35">
      <c r="A11" s="24" t="s">
        <v>59</v>
      </c>
      <c r="B11" s="16">
        <v>0.22</v>
      </c>
      <c r="C11" s="25" t="s">
        <v>35</v>
      </c>
      <c r="D11" s="6"/>
      <c r="E11" s="40" t="s">
        <v>76</v>
      </c>
      <c r="F11" s="9">
        <v>2643</v>
      </c>
      <c r="G11" s="6"/>
      <c r="H11" s="25">
        <v>3375.1</v>
      </c>
      <c r="I11" s="9"/>
      <c r="J11" s="6"/>
      <c r="K11" s="6"/>
      <c r="L11" s="6"/>
      <c r="M11" s="3"/>
      <c r="N11" s="3"/>
      <c r="O11" s="44"/>
      <c r="Q11" s="17">
        <v>10</v>
      </c>
      <c r="R11" s="17">
        <v>134</v>
      </c>
      <c r="S11" s="18">
        <v>0.28999999999999998</v>
      </c>
      <c r="T11" s="49">
        <v>45</v>
      </c>
      <c r="U11" s="1">
        <v>79.5</v>
      </c>
    </row>
    <row r="12" spans="1:23" ht="15" thickBot="1" x14ac:dyDescent="0.4">
      <c r="A12" s="26" t="s">
        <v>84</v>
      </c>
      <c r="B12" s="27">
        <v>76</v>
      </c>
      <c r="C12" s="28" t="s">
        <v>0</v>
      </c>
      <c r="D12" s="6"/>
      <c r="E12" s="40" t="s">
        <v>77</v>
      </c>
      <c r="F12" s="6">
        <v>1.0755999999999999</v>
      </c>
      <c r="G12" s="6"/>
      <c r="H12" s="25"/>
      <c r="I12" s="6"/>
      <c r="J12" s="6"/>
      <c r="K12" s="6"/>
      <c r="L12" s="6"/>
      <c r="M12" s="3"/>
      <c r="N12" s="3"/>
      <c r="O12" s="44"/>
      <c r="Q12" s="17">
        <v>11</v>
      </c>
      <c r="R12" s="17">
        <v>135</v>
      </c>
      <c r="S12" s="18">
        <v>0.3</v>
      </c>
      <c r="T12" s="49">
        <v>50</v>
      </c>
      <c r="U12" s="1">
        <v>80</v>
      </c>
    </row>
    <row r="13" spans="1:23" ht="15" thickBot="1" x14ac:dyDescent="0.4">
      <c r="A13" s="6"/>
      <c r="B13" s="3"/>
      <c r="C13" s="3"/>
      <c r="D13" s="6"/>
      <c r="E13" s="41" t="s">
        <v>78</v>
      </c>
      <c r="F13" s="42">
        <v>7.6111000000000004</v>
      </c>
      <c r="G13" s="42"/>
      <c r="H13" s="28">
        <v>6.5994999999999999</v>
      </c>
      <c r="I13" s="6"/>
      <c r="J13" s="6"/>
      <c r="K13" s="6"/>
      <c r="L13" s="6"/>
      <c r="M13" s="3"/>
      <c r="N13" s="3"/>
      <c r="O13" s="44"/>
      <c r="Q13" s="17">
        <v>12</v>
      </c>
      <c r="R13" s="17">
        <v>136</v>
      </c>
      <c r="S13" s="18">
        <v>0.31</v>
      </c>
      <c r="T13" s="49">
        <v>55</v>
      </c>
      <c r="U13" s="1">
        <v>80.5</v>
      </c>
    </row>
    <row r="14" spans="1:23" ht="15" thickBot="1" x14ac:dyDescent="0.4">
      <c r="A14" s="3" t="s">
        <v>71</v>
      </c>
      <c r="B14" s="3"/>
      <c r="C14" s="3"/>
      <c r="D14" s="6"/>
      <c r="E14" s="6"/>
      <c r="F14" s="6"/>
      <c r="G14" s="6"/>
      <c r="H14" s="6"/>
      <c r="I14" s="6"/>
      <c r="J14" s="6"/>
      <c r="K14" s="6"/>
      <c r="L14" s="6"/>
      <c r="M14" s="3"/>
      <c r="N14" s="3"/>
      <c r="O14" s="44"/>
      <c r="Q14" s="17">
        <v>13</v>
      </c>
      <c r="R14" s="17">
        <v>137</v>
      </c>
      <c r="S14" s="18">
        <v>0.32</v>
      </c>
      <c r="T14" s="49">
        <v>60</v>
      </c>
      <c r="U14" s="1">
        <v>81</v>
      </c>
    </row>
    <row r="15" spans="1:23" x14ac:dyDescent="0.35">
      <c r="A15" s="29" t="s">
        <v>52</v>
      </c>
      <c r="B15" s="30"/>
      <c r="C15" s="30"/>
      <c r="D15" s="31"/>
      <c r="E15" s="32" t="s">
        <v>32</v>
      </c>
      <c r="F15" s="47">
        <f>33890.4*(B16/100)+144180.6*((B17/100)-(B18/100)/8)</f>
        <v>18820.917975</v>
      </c>
      <c r="G15" s="31" t="s">
        <v>15</v>
      </c>
      <c r="H15" s="23"/>
      <c r="I15" s="6"/>
      <c r="J15" s="6"/>
      <c r="K15" s="6"/>
      <c r="L15" s="6"/>
      <c r="M15" s="3"/>
      <c r="N15" s="3"/>
      <c r="O15" s="44"/>
      <c r="Q15" s="17">
        <v>14</v>
      </c>
      <c r="R15" s="17">
        <v>138</v>
      </c>
      <c r="S15" s="18">
        <v>0.33</v>
      </c>
      <c r="T15" s="49">
        <v>60</v>
      </c>
      <c r="U15" s="1">
        <v>81.5</v>
      </c>
    </row>
    <row r="16" spans="1:23" x14ac:dyDescent="0.35">
      <c r="A16" s="33" t="s">
        <v>7</v>
      </c>
      <c r="B16" s="14">
        <v>49.1</v>
      </c>
      <c r="C16" s="3" t="s">
        <v>0</v>
      </c>
      <c r="D16" s="3"/>
      <c r="E16" s="13" t="s">
        <v>11</v>
      </c>
      <c r="F16" s="48">
        <f>((100-B19-B20)/100)*F15</f>
        <v>16901.184341550001</v>
      </c>
      <c r="G16" s="6" t="s">
        <v>14</v>
      </c>
      <c r="H16" s="25"/>
      <c r="I16" s="6"/>
      <c r="J16" s="6"/>
      <c r="K16" s="6"/>
      <c r="L16" s="6"/>
      <c r="M16" s="3"/>
      <c r="N16" s="3"/>
      <c r="O16" s="44"/>
      <c r="Q16" s="17">
        <v>15</v>
      </c>
      <c r="R16" s="17">
        <v>139</v>
      </c>
      <c r="S16" s="18">
        <v>0.34</v>
      </c>
      <c r="T16" s="49">
        <v>55</v>
      </c>
      <c r="U16" s="1">
        <v>82</v>
      </c>
    </row>
    <row r="17" spans="1:21" x14ac:dyDescent="0.35">
      <c r="A17" s="33" t="s">
        <v>4</v>
      </c>
      <c r="B17" s="15">
        <v>7</v>
      </c>
      <c r="C17" s="3" t="s">
        <v>0</v>
      </c>
      <c r="D17" s="3"/>
      <c r="E17" s="13" t="s">
        <v>12</v>
      </c>
      <c r="F17" s="48">
        <f>(B20/100)*1000/18</f>
        <v>4.0000000000000009</v>
      </c>
      <c r="G17" s="6" t="s">
        <v>13</v>
      </c>
      <c r="H17" s="25"/>
      <c r="I17" s="6"/>
      <c r="J17" s="6"/>
      <c r="K17" s="6"/>
      <c r="L17" s="6"/>
      <c r="M17" s="3"/>
      <c r="N17" s="3"/>
      <c r="O17" s="44"/>
      <c r="Q17" s="17">
        <v>16</v>
      </c>
      <c r="R17" s="17">
        <v>140</v>
      </c>
      <c r="S17" s="18">
        <v>0.35</v>
      </c>
      <c r="T17" s="49">
        <v>50</v>
      </c>
      <c r="U17" s="1">
        <v>82.5</v>
      </c>
    </row>
    <row r="18" spans="1:21" x14ac:dyDescent="0.35">
      <c r="A18" s="33" t="s">
        <v>50</v>
      </c>
      <c r="B18" s="14">
        <f>100-B16-B17</f>
        <v>43.9</v>
      </c>
      <c r="C18" s="3" t="s">
        <v>0</v>
      </c>
      <c r="D18" s="3"/>
      <c r="E18" s="13" t="s">
        <v>16</v>
      </c>
      <c r="F18" s="48">
        <f>(((100-B19-B20)/100)*B26)/2</f>
        <v>31.43</v>
      </c>
      <c r="G18" s="6" t="s">
        <v>13</v>
      </c>
      <c r="H18" s="25"/>
      <c r="I18" s="6"/>
      <c r="J18" s="6"/>
      <c r="K18" s="6"/>
      <c r="L18" s="6"/>
      <c r="M18" s="3"/>
      <c r="N18" s="3"/>
      <c r="O18" s="44"/>
      <c r="Q18" s="17">
        <v>17</v>
      </c>
      <c r="R18" s="17">
        <v>141</v>
      </c>
      <c r="S18" s="18">
        <v>0.36</v>
      </c>
      <c r="T18" s="49">
        <v>45</v>
      </c>
      <c r="U18" s="1">
        <v>83</v>
      </c>
    </row>
    <row r="19" spans="1:21" x14ac:dyDescent="0.35">
      <c r="A19" s="33" t="s">
        <v>51</v>
      </c>
      <c r="B19" s="8">
        <v>3</v>
      </c>
      <c r="C19" s="3" t="s">
        <v>0</v>
      </c>
      <c r="D19" s="3"/>
      <c r="E19" s="13" t="s">
        <v>17</v>
      </c>
      <c r="F19" s="48">
        <f>SUM(F17:F18)</f>
        <v>35.43</v>
      </c>
      <c r="G19" s="6" t="s">
        <v>13</v>
      </c>
      <c r="H19" s="25"/>
      <c r="I19" s="6"/>
      <c r="J19" s="6"/>
      <c r="K19" s="6"/>
      <c r="L19" s="6"/>
      <c r="M19" s="3"/>
      <c r="N19" s="3"/>
      <c r="O19" s="44"/>
      <c r="Q19" s="17">
        <v>18</v>
      </c>
      <c r="R19" s="17">
        <v>142</v>
      </c>
      <c r="S19" s="18">
        <v>0.37</v>
      </c>
      <c r="T19" s="49">
        <v>40</v>
      </c>
      <c r="U19" s="1">
        <v>83.5</v>
      </c>
    </row>
    <row r="20" spans="1:21" x14ac:dyDescent="0.35">
      <c r="A20" s="33" t="s">
        <v>12</v>
      </c>
      <c r="B20" s="16">
        <v>7.2</v>
      </c>
      <c r="C20" s="3" t="s">
        <v>0</v>
      </c>
      <c r="D20" s="3"/>
      <c r="E20" s="13" t="s">
        <v>18</v>
      </c>
      <c r="F20" s="48">
        <f>F16-40.7*F19</f>
        <v>15459.18334155</v>
      </c>
      <c r="G20" s="6" t="s">
        <v>14</v>
      </c>
      <c r="H20" s="25"/>
      <c r="I20" s="6"/>
      <c r="J20" s="6"/>
      <c r="K20" s="6"/>
      <c r="L20" s="6"/>
      <c r="M20" s="3"/>
      <c r="N20" s="3"/>
      <c r="O20" s="44"/>
      <c r="Q20" s="17">
        <v>19</v>
      </c>
      <c r="R20" s="17">
        <v>143</v>
      </c>
      <c r="S20" s="18">
        <v>0.38</v>
      </c>
      <c r="T20" s="49">
        <v>35</v>
      </c>
      <c r="U20" s="1">
        <v>84</v>
      </c>
    </row>
    <row r="21" spans="1:21" x14ac:dyDescent="0.35">
      <c r="A21" s="33" t="s">
        <v>33</v>
      </c>
      <c r="B21" s="3"/>
      <c r="C21" s="3"/>
      <c r="D21" s="3"/>
      <c r="E21" s="13"/>
      <c r="F21" s="48"/>
      <c r="G21" s="6"/>
      <c r="H21" s="25"/>
      <c r="I21" s="6"/>
      <c r="J21" s="6"/>
      <c r="K21" s="6"/>
      <c r="L21" s="6"/>
      <c r="M21" s="3"/>
      <c r="N21" s="3"/>
      <c r="O21" s="44"/>
      <c r="Q21" s="17">
        <v>20</v>
      </c>
      <c r="R21" s="17">
        <v>144</v>
      </c>
      <c r="S21" s="18">
        <v>0.39</v>
      </c>
      <c r="T21" s="49">
        <v>30</v>
      </c>
      <c r="U21" s="1">
        <v>84.5</v>
      </c>
    </row>
    <row r="22" spans="1:21" x14ac:dyDescent="0.35">
      <c r="A22" s="33" t="s">
        <v>7</v>
      </c>
      <c r="B22" s="11">
        <f>B16*10</f>
        <v>491</v>
      </c>
      <c r="C22" s="3" t="s">
        <v>53</v>
      </c>
      <c r="D22" s="3"/>
      <c r="E22" s="13"/>
      <c r="F22" s="48"/>
      <c r="G22" s="6"/>
      <c r="H22" s="25"/>
      <c r="I22" s="3"/>
      <c r="J22" s="6"/>
      <c r="K22" s="6"/>
      <c r="L22" s="6"/>
      <c r="M22" s="3"/>
      <c r="N22" s="3"/>
      <c r="O22" s="44"/>
      <c r="Q22" s="17">
        <v>21</v>
      </c>
      <c r="R22" s="17">
        <v>145</v>
      </c>
      <c r="S22" s="18">
        <v>0.4</v>
      </c>
      <c r="T22" s="49">
        <v>35</v>
      </c>
      <c r="U22" s="1">
        <v>85</v>
      </c>
    </row>
    <row r="23" spans="1:21" x14ac:dyDescent="0.35">
      <c r="A23" s="33" t="s">
        <v>4</v>
      </c>
      <c r="B23" s="11">
        <f>B17*10</f>
        <v>70</v>
      </c>
      <c r="C23" s="3" t="s">
        <v>53</v>
      </c>
      <c r="D23" s="3"/>
      <c r="E23" s="13"/>
      <c r="F23" s="48"/>
      <c r="G23" s="6"/>
      <c r="H23" s="25"/>
      <c r="I23" s="3"/>
      <c r="J23" s="6"/>
      <c r="K23" s="6"/>
      <c r="L23" s="6"/>
      <c r="M23" s="3"/>
      <c r="N23" s="3"/>
      <c r="O23" s="44"/>
      <c r="Q23" s="17">
        <v>22</v>
      </c>
      <c r="R23" s="17">
        <v>146</v>
      </c>
      <c r="S23" s="18">
        <v>0.41</v>
      </c>
      <c r="T23" s="49">
        <v>40</v>
      </c>
      <c r="U23" s="1">
        <v>85.5</v>
      </c>
    </row>
    <row r="24" spans="1:21" x14ac:dyDescent="0.35">
      <c r="A24" s="33" t="s">
        <v>50</v>
      </c>
      <c r="B24" s="11">
        <f>B18*10</f>
        <v>439</v>
      </c>
      <c r="C24" s="3" t="s">
        <v>53</v>
      </c>
      <c r="D24" s="3"/>
      <c r="E24" s="13"/>
      <c r="F24" s="48"/>
      <c r="G24" s="6"/>
      <c r="H24" s="25"/>
      <c r="I24" s="3"/>
      <c r="J24" s="6"/>
      <c r="K24" s="6"/>
      <c r="L24" s="6"/>
      <c r="M24" s="3"/>
      <c r="N24" s="3"/>
      <c r="O24" s="44"/>
      <c r="Q24" s="17">
        <v>23</v>
      </c>
      <c r="R24" s="17">
        <v>147</v>
      </c>
      <c r="S24" s="18">
        <v>0.42</v>
      </c>
      <c r="T24" s="49">
        <v>45</v>
      </c>
      <c r="U24" s="1">
        <v>86</v>
      </c>
    </row>
    <row r="25" spans="1:21" x14ac:dyDescent="0.35">
      <c r="A25" s="33" t="s">
        <v>7</v>
      </c>
      <c r="B25" s="11">
        <f>B22/12</f>
        <v>40.916666666666664</v>
      </c>
      <c r="C25" s="3" t="s">
        <v>9</v>
      </c>
      <c r="D25" s="3"/>
      <c r="E25" s="13"/>
      <c r="F25" s="48"/>
      <c r="G25" s="6"/>
      <c r="H25" s="25"/>
      <c r="I25" s="3"/>
      <c r="J25" s="6"/>
      <c r="K25" s="6"/>
      <c r="L25" s="6"/>
      <c r="M25" s="3"/>
      <c r="N25" s="3"/>
      <c r="O25" s="44"/>
      <c r="Q25" s="17">
        <v>24</v>
      </c>
      <c r="R25" s="17">
        <v>148</v>
      </c>
      <c r="S25" s="18">
        <v>0.43</v>
      </c>
      <c r="T25" s="49">
        <v>50</v>
      </c>
      <c r="U25" s="1">
        <v>86.5</v>
      </c>
    </row>
    <row r="26" spans="1:21" x14ac:dyDescent="0.35">
      <c r="A26" s="33" t="s">
        <v>4</v>
      </c>
      <c r="B26" s="11">
        <f>B23/1</f>
        <v>70</v>
      </c>
      <c r="C26" s="3" t="s">
        <v>9</v>
      </c>
      <c r="D26" s="3"/>
      <c r="E26" s="13"/>
      <c r="F26" s="48"/>
      <c r="G26" s="6"/>
      <c r="H26" s="25"/>
      <c r="I26" s="3"/>
      <c r="J26" s="6"/>
      <c r="K26" s="6"/>
      <c r="L26" s="6"/>
      <c r="M26" s="3"/>
      <c r="N26" s="3"/>
      <c r="O26" s="44"/>
      <c r="Q26" s="17">
        <v>25</v>
      </c>
      <c r="R26" s="17">
        <v>149</v>
      </c>
      <c r="S26" s="18">
        <v>0.44</v>
      </c>
      <c r="T26" s="49">
        <v>55</v>
      </c>
      <c r="U26" s="1">
        <v>87</v>
      </c>
    </row>
    <row r="27" spans="1:21" ht="15" thickBot="1" x14ac:dyDescent="0.4">
      <c r="A27" s="35" t="s">
        <v>50</v>
      </c>
      <c r="B27" s="36">
        <f>B24/16</f>
        <v>27.4375</v>
      </c>
      <c r="C27" s="37" t="s">
        <v>9</v>
      </c>
      <c r="D27" s="37"/>
      <c r="E27" s="56"/>
      <c r="F27" s="57"/>
      <c r="G27" s="42"/>
      <c r="H27" s="28"/>
      <c r="I27" s="3"/>
      <c r="J27" s="6"/>
      <c r="K27" s="6"/>
      <c r="L27" s="6"/>
      <c r="M27" s="3"/>
      <c r="N27" s="3"/>
      <c r="O27" s="44"/>
      <c r="Q27" s="17">
        <v>26</v>
      </c>
      <c r="R27" s="17">
        <v>150</v>
      </c>
      <c r="S27" s="18">
        <v>0.45</v>
      </c>
      <c r="T27" s="49">
        <v>60</v>
      </c>
      <c r="U27" s="1">
        <v>87.5</v>
      </c>
    </row>
    <row r="28" spans="1:21" x14ac:dyDescent="0.35">
      <c r="A28" s="3"/>
      <c r="B28" s="3"/>
      <c r="C28" s="3"/>
      <c r="D28" s="3"/>
      <c r="E28" s="3"/>
      <c r="F28" s="3"/>
      <c r="G28" s="3"/>
      <c r="H28" s="3"/>
      <c r="I28" s="3"/>
      <c r="J28" s="6"/>
      <c r="K28" s="6"/>
      <c r="L28" s="6"/>
      <c r="M28" s="3"/>
      <c r="N28" s="3"/>
      <c r="O28" s="44"/>
      <c r="Q28" s="17">
        <v>27</v>
      </c>
      <c r="R28" s="2">
        <v>149</v>
      </c>
      <c r="S28" s="18">
        <v>0.46</v>
      </c>
      <c r="T28" s="49">
        <v>60</v>
      </c>
      <c r="U28" s="1">
        <v>88</v>
      </c>
    </row>
    <row r="29" spans="1:21" ht="15" thickBot="1" x14ac:dyDescent="0.4">
      <c r="A29" s="3" t="s">
        <v>87</v>
      </c>
      <c r="B29" s="3"/>
      <c r="C29" s="3"/>
      <c r="D29" s="3"/>
      <c r="E29" s="3"/>
      <c r="F29" s="3"/>
      <c r="G29" s="3"/>
      <c r="H29" s="3"/>
      <c r="I29" s="3"/>
      <c r="J29" s="3" t="s">
        <v>85</v>
      </c>
      <c r="K29" s="3"/>
      <c r="L29" s="3"/>
      <c r="M29" s="3"/>
      <c r="N29" s="3"/>
      <c r="O29" s="44"/>
      <c r="Q29" s="17">
        <v>28</v>
      </c>
      <c r="R29" s="17">
        <v>148</v>
      </c>
      <c r="S29" s="18">
        <v>0.46999999999999897</v>
      </c>
      <c r="T29" s="49">
        <v>55</v>
      </c>
      <c r="U29" s="1">
        <v>88.5</v>
      </c>
    </row>
    <row r="30" spans="1:21" x14ac:dyDescent="0.35">
      <c r="A30" s="29" t="s">
        <v>79</v>
      </c>
      <c r="B30" s="50">
        <f>B25*393.5+(B26/2)*285.8-F15</f>
        <v>7282.7903583333318</v>
      </c>
      <c r="C30" s="30" t="s">
        <v>80</v>
      </c>
      <c r="D30" s="43"/>
      <c r="E30" s="3"/>
      <c r="F30" s="3"/>
      <c r="G30" s="3"/>
      <c r="H30" s="3"/>
      <c r="I30" s="3"/>
      <c r="J30" s="29" t="s">
        <v>26</v>
      </c>
      <c r="K30" s="53">
        <f>F10</f>
        <v>335.02</v>
      </c>
      <c r="L30" s="43" t="s">
        <v>10</v>
      </c>
      <c r="M30" s="3"/>
      <c r="N30" s="3"/>
      <c r="O30" s="44"/>
      <c r="Q30" s="17">
        <v>29</v>
      </c>
      <c r="R30" s="2">
        <v>147</v>
      </c>
      <c r="S30" s="18">
        <v>0.47999999999999898</v>
      </c>
      <c r="T30" s="49">
        <v>50</v>
      </c>
      <c r="U30" s="1">
        <v>89</v>
      </c>
    </row>
    <row r="31" spans="1:21" x14ac:dyDescent="0.35">
      <c r="A31" s="33" t="s">
        <v>19</v>
      </c>
      <c r="B31" s="51">
        <f>((100-B20-B19)/100)*(B25+B26/4-B27/2)</f>
        <v>40.138729166666664</v>
      </c>
      <c r="C31" s="3" t="s">
        <v>81</v>
      </c>
      <c r="D31" s="34"/>
      <c r="E31" s="3"/>
      <c r="F31" s="3"/>
      <c r="G31" s="3"/>
      <c r="H31" s="3"/>
      <c r="I31" s="3"/>
      <c r="J31" s="33" t="s">
        <v>54</v>
      </c>
      <c r="K31" s="54">
        <f>((F9+G9)/2)*(G8-F8)*100</f>
        <v>12.346180451999999</v>
      </c>
      <c r="L31" s="34" t="s">
        <v>10</v>
      </c>
      <c r="M31" s="3"/>
      <c r="N31" s="3"/>
      <c r="O31" s="44"/>
      <c r="Q31" s="17">
        <v>30</v>
      </c>
      <c r="R31" s="17">
        <v>146</v>
      </c>
      <c r="S31" s="18">
        <v>0.48999999999999899</v>
      </c>
      <c r="T31" s="49">
        <v>45</v>
      </c>
      <c r="U31" s="1">
        <v>89.5</v>
      </c>
    </row>
    <row r="32" spans="1:21" x14ac:dyDescent="0.35">
      <c r="A32" s="33" t="s">
        <v>20</v>
      </c>
      <c r="B32" s="51">
        <f>(1+B9/100)*B31</f>
        <v>60.208093749999996</v>
      </c>
      <c r="C32" s="3" t="s">
        <v>81</v>
      </c>
      <c r="D32" s="34"/>
      <c r="E32" s="3"/>
      <c r="F32" s="3"/>
      <c r="G32" s="3"/>
      <c r="H32" s="3"/>
      <c r="I32" s="3"/>
      <c r="J32" s="33" t="s">
        <v>28</v>
      </c>
      <c r="K32" s="54">
        <f>K31/(B12/100)</f>
        <v>16.244974278947367</v>
      </c>
      <c r="L32" s="34" t="s">
        <v>10</v>
      </c>
      <c r="M32" s="3"/>
      <c r="N32" s="3"/>
      <c r="O32" s="44"/>
      <c r="Q32" s="17">
        <v>31</v>
      </c>
      <c r="R32" s="2">
        <v>145</v>
      </c>
      <c r="S32" s="18">
        <v>0.499999999999999</v>
      </c>
      <c r="T32" s="49">
        <v>40</v>
      </c>
      <c r="U32" s="1">
        <v>90</v>
      </c>
    </row>
    <row r="33" spans="1:21" x14ac:dyDescent="0.35">
      <c r="A33" s="33" t="s">
        <v>34</v>
      </c>
      <c r="B33" s="51">
        <f>(79/21)*B32</f>
        <v>226.49711458333331</v>
      </c>
      <c r="C33" s="3" t="s">
        <v>81</v>
      </c>
      <c r="D33" s="34"/>
      <c r="E33" s="3"/>
      <c r="F33" s="3"/>
      <c r="G33" s="3"/>
      <c r="H33" s="3"/>
      <c r="I33" s="3"/>
      <c r="J33" s="33" t="s">
        <v>27</v>
      </c>
      <c r="K33" s="54">
        <f>K30+K32</f>
        <v>351.26497427894736</v>
      </c>
      <c r="L33" s="34" t="s">
        <v>10</v>
      </c>
      <c r="M33" s="3"/>
      <c r="N33" s="3"/>
      <c r="O33" s="44"/>
      <c r="Q33" s="17">
        <v>32</v>
      </c>
      <c r="R33" s="17">
        <v>144</v>
      </c>
      <c r="S33" s="18">
        <v>0.49</v>
      </c>
      <c r="T33" s="49">
        <v>35</v>
      </c>
      <c r="U33" s="1">
        <v>89.5</v>
      </c>
    </row>
    <row r="34" spans="1:21" x14ac:dyDescent="0.35">
      <c r="A34" s="33" t="s">
        <v>37</v>
      </c>
      <c r="B34" s="51">
        <f>B40*393.5+B41*285.8+B42*110.5-(1-B19/100-B20/100)*B30-F17*285.8</f>
        <v>16702.518222323019</v>
      </c>
      <c r="C34" s="3" t="s">
        <v>82</v>
      </c>
      <c r="D34" s="34"/>
      <c r="E34" s="3"/>
      <c r="F34" s="3"/>
      <c r="G34" s="3"/>
      <c r="H34" s="3"/>
      <c r="I34" s="3"/>
      <c r="J34" s="33" t="s">
        <v>41</v>
      </c>
      <c r="K34" s="54">
        <f>B37/(H11-K33)</f>
        <v>4.6910128453483519</v>
      </c>
      <c r="L34" s="34" t="s">
        <v>86</v>
      </c>
      <c r="M34" s="3"/>
      <c r="N34" s="3"/>
      <c r="O34" s="44"/>
      <c r="Q34" s="17">
        <v>33</v>
      </c>
      <c r="R34" s="2">
        <v>143</v>
      </c>
      <c r="S34" s="18">
        <v>0.48000000000000098</v>
      </c>
      <c r="T34" s="49">
        <v>30</v>
      </c>
      <c r="U34" s="1">
        <v>89</v>
      </c>
    </row>
    <row r="35" spans="1:21" x14ac:dyDescent="0.35">
      <c r="A35" s="33" t="s">
        <v>38</v>
      </c>
      <c r="B35" s="51">
        <f>B40*(0.043*((B10+273)-298))+B41*(0.034*((B10+273)-298))+B42*(0.028*((B10+273)-298))+B43*(0.035*((B10+273)-298))+B44*(0.027*((B10+273)-298))</f>
        <v>1075.6682744512964</v>
      </c>
      <c r="C35" s="3" t="s">
        <v>82</v>
      </c>
      <c r="D35" s="34"/>
      <c r="E35" s="3"/>
      <c r="F35" s="3"/>
      <c r="G35" s="3"/>
      <c r="H35" s="3"/>
      <c r="I35" s="3"/>
      <c r="J35" s="33" t="s">
        <v>55</v>
      </c>
      <c r="K35" s="54">
        <f>(H13-F12)/(F13-F12)</f>
        <v>0.8452145971999081</v>
      </c>
      <c r="L35" s="34"/>
      <c r="M35" s="3"/>
      <c r="N35" s="3"/>
      <c r="O35" s="44"/>
      <c r="Q35" s="17">
        <v>34</v>
      </c>
      <c r="R35" s="17">
        <v>142</v>
      </c>
      <c r="S35" s="18">
        <v>0.47000000000000203</v>
      </c>
      <c r="T35" s="49">
        <v>35</v>
      </c>
      <c r="U35" s="1">
        <v>88.5</v>
      </c>
    </row>
    <row r="36" spans="1:21" x14ac:dyDescent="0.35">
      <c r="A36" s="33" t="s">
        <v>39</v>
      </c>
      <c r="B36" s="51">
        <f>40.7*B41</f>
        <v>1442.001</v>
      </c>
      <c r="C36" s="3" t="s">
        <v>82</v>
      </c>
      <c r="D36" s="34"/>
      <c r="E36" s="3"/>
      <c r="F36" s="3"/>
      <c r="G36" s="3"/>
      <c r="H36" s="3"/>
      <c r="I36" s="3"/>
      <c r="J36" s="33" t="s">
        <v>30</v>
      </c>
      <c r="K36" s="54">
        <f>K35*F11+(1-K35)*F10</f>
        <v>2285.7583860454438</v>
      </c>
      <c r="L36" s="34" t="s">
        <v>10</v>
      </c>
      <c r="M36" s="3"/>
      <c r="N36" s="3"/>
      <c r="O36" s="44"/>
      <c r="Q36" s="17">
        <v>35</v>
      </c>
      <c r="R36" s="2">
        <v>141</v>
      </c>
      <c r="S36" s="18">
        <v>0.46000000000000302</v>
      </c>
      <c r="T36" s="49">
        <v>40</v>
      </c>
      <c r="U36" s="1">
        <v>88</v>
      </c>
    </row>
    <row r="37" spans="1:21" x14ac:dyDescent="0.35">
      <c r="A37" s="33" t="s">
        <v>40</v>
      </c>
      <c r="B37" s="51">
        <f>B34-B35-B36</f>
        <v>14184.848947871722</v>
      </c>
      <c r="C37" s="3" t="s">
        <v>82</v>
      </c>
      <c r="D37" s="34"/>
      <c r="E37" s="3"/>
      <c r="F37" s="3"/>
      <c r="G37" s="3"/>
      <c r="H37" s="3"/>
      <c r="I37" s="3"/>
      <c r="J37" s="33" t="s">
        <v>56</v>
      </c>
      <c r="K37" s="54">
        <f>H11-K36</f>
        <v>1089.3416139545561</v>
      </c>
      <c r="L37" s="34" t="s">
        <v>10</v>
      </c>
      <c r="M37" s="3"/>
      <c r="N37" s="3"/>
      <c r="O37" s="44"/>
      <c r="Q37" s="17">
        <v>36</v>
      </c>
      <c r="R37" s="17">
        <v>140</v>
      </c>
      <c r="S37" s="18">
        <v>0.45000000000000401</v>
      </c>
      <c r="T37" s="49">
        <v>45</v>
      </c>
      <c r="U37" s="1">
        <v>87.5</v>
      </c>
    </row>
    <row r="38" spans="1:21" x14ac:dyDescent="0.35">
      <c r="A38" s="33"/>
      <c r="B38" s="3"/>
      <c r="C38" s="3"/>
      <c r="D38" s="34"/>
      <c r="E38" s="3"/>
      <c r="F38" s="3"/>
      <c r="G38" s="3"/>
      <c r="H38" s="3"/>
      <c r="I38" s="3"/>
      <c r="J38" s="33" t="s">
        <v>31</v>
      </c>
      <c r="K38" s="54">
        <f>(B12/100)*K37</f>
        <v>827.89962660546269</v>
      </c>
      <c r="L38" s="34" t="s">
        <v>10</v>
      </c>
      <c r="M38" s="3"/>
      <c r="N38" s="3"/>
      <c r="O38" s="44"/>
      <c r="Q38" s="17">
        <v>37</v>
      </c>
      <c r="R38" s="2">
        <v>139</v>
      </c>
      <c r="S38" s="18">
        <v>0.440000000000005</v>
      </c>
      <c r="T38" s="49">
        <v>50</v>
      </c>
      <c r="U38" s="1">
        <v>87</v>
      </c>
    </row>
    <row r="39" spans="1:21" x14ac:dyDescent="0.35">
      <c r="A39" s="33" t="s">
        <v>36</v>
      </c>
      <c r="B39" s="3"/>
      <c r="C39" s="3"/>
      <c r="D39" s="34"/>
      <c r="E39" s="3"/>
      <c r="F39" s="3"/>
      <c r="G39" s="3"/>
      <c r="H39" s="3"/>
      <c r="I39" s="3"/>
      <c r="J39" s="33" t="s">
        <v>29</v>
      </c>
      <c r="K39" s="54">
        <f>H11-K38</f>
        <v>2547.2003733945371</v>
      </c>
      <c r="L39" s="34" t="s">
        <v>10</v>
      </c>
      <c r="M39" s="3"/>
      <c r="N39" s="3"/>
      <c r="O39" s="44"/>
      <c r="Q39" s="17">
        <v>38</v>
      </c>
      <c r="R39" s="17">
        <v>138</v>
      </c>
      <c r="S39" s="18">
        <v>0.43000000000000599</v>
      </c>
      <c r="T39" s="49">
        <v>55</v>
      </c>
      <c r="U39" s="1">
        <v>86.5</v>
      </c>
    </row>
    <row r="40" spans="1:21" ht="15" thickBot="1" x14ac:dyDescent="0.4">
      <c r="A40" s="33" t="s">
        <v>21</v>
      </c>
      <c r="B40" s="51">
        <f>((100-B20-B19)/100)*B25-B42</f>
        <v>36.041166245369908</v>
      </c>
      <c r="C40" s="3" t="s">
        <v>13</v>
      </c>
      <c r="D40" s="34"/>
      <c r="E40" s="45"/>
      <c r="F40" s="45"/>
      <c r="G40" s="3"/>
      <c r="H40" s="3"/>
      <c r="I40" s="3"/>
      <c r="J40" s="33"/>
      <c r="K40" s="12"/>
      <c r="L40" s="34"/>
      <c r="M40" s="3"/>
      <c r="N40" s="3"/>
      <c r="O40" s="44"/>
      <c r="Q40" s="17">
        <v>39</v>
      </c>
      <c r="R40" s="2">
        <v>137</v>
      </c>
      <c r="S40" s="18">
        <v>0.42000000000000698</v>
      </c>
      <c r="T40" s="49">
        <v>60</v>
      </c>
      <c r="U40" s="1">
        <v>86</v>
      </c>
    </row>
    <row r="41" spans="1:21" x14ac:dyDescent="0.35">
      <c r="A41" s="33" t="s">
        <v>22</v>
      </c>
      <c r="B41" s="51">
        <f>F19</f>
        <v>35.43</v>
      </c>
      <c r="C41" s="3" t="s">
        <v>13</v>
      </c>
      <c r="D41" s="34"/>
      <c r="E41" s="29" t="s">
        <v>92</v>
      </c>
      <c r="F41" s="30"/>
      <c r="G41" s="30"/>
      <c r="H41" s="43"/>
      <c r="I41" s="3"/>
      <c r="J41" s="33" t="s">
        <v>42</v>
      </c>
      <c r="K41" s="54">
        <f>K34*K38</f>
        <v>3883.6877830653298</v>
      </c>
      <c r="L41" s="34" t="s">
        <v>82</v>
      </c>
      <c r="M41" s="3"/>
      <c r="N41" s="3"/>
      <c r="O41" s="44"/>
      <c r="Q41" s="17">
        <v>40</v>
      </c>
      <c r="R41" s="17">
        <v>136</v>
      </c>
      <c r="S41" s="18">
        <v>0.41000000000000802</v>
      </c>
      <c r="T41" s="49">
        <v>60</v>
      </c>
      <c r="U41" s="1">
        <v>85.5</v>
      </c>
    </row>
    <row r="42" spans="1:21" x14ac:dyDescent="0.35">
      <c r="A42" s="33" t="s">
        <v>89</v>
      </c>
      <c r="B42" s="14">
        <v>0.70200042129675966</v>
      </c>
      <c r="C42" s="3" t="s">
        <v>13</v>
      </c>
      <c r="D42" s="34"/>
      <c r="E42" s="33" t="s">
        <v>7</v>
      </c>
      <c r="F42" s="10">
        <f>((100-B20-B19)/100)*B25-B40-B42</f>
        <v>0</v>
      </c>
      <c r="G42" s="3"/>
      <c r="H42" s="34"/>
      <c r="I42" s="3"/>
      <c r="J42" s="33" t="s">
        <v>43</v>
      </c>
      <c r="K42" s="54">
        <f>K34*K32</f>
        <v>76.205383014895688</v>
      </c>
      <c r="L42" s="34" t="s">
        <v>82</v>
      </c>
      <c r="M42" s="3"/>
      <c r="N42" s="3"/>
      <c r="O42" s="44"/>
      <c r="Q42" s="17">
        <v>41</v>
      </c>
      <c r="R42" s="2">
        <v>135</v>
      </c>
      <c r="S42" s="18">
        <v>0.40000000000000902</v>
      </c>
      <c r="T42" s="49">
        <v>55</v>
      </c>
      <c r="U42" s="1">
        <v>85</v>
      </c>
    </row>
    <row r="43" spans="1:21" x14ac:dyDescent="0.35">
      <c r="A43" s="33" t="s">
        <v>23</v>
      </c>
      <c r="B43" s="51">
        <f>B32+((100-B20-B19)/100)*B27/2+F17/2-B40-B41/2-B42/2</f>
        <v>20.420364793981708</v>
      </c>
      <c r="C43" s="3" t="s">
        <v>13</v>
      </c>
      <c r="D43" s="34"/>
      <c r="E43" s="33" t="s">
        <v>8</v>
      </c>
      <c r="F43" s="10">
        <f>((100-B20-B19)/100)*B27+F17+2*B32-2*B40-B41-B42-2*B43</f>
        <v>0</v>
      </c>
      <c r="G43" s="3"/>
      <c r="H43" s="34"/>
      <c r="I43" s="3"/>
      <c r="J43" s="33" t="s">
        <v>44</v>
      </c>
      <c r="K43" s="54">
        <f>K41-K42</f>
        <v>3807.4824000504341</v>
      </c>
      <c r="L43" s="34" t="s">
        <v>82</v>
      </c>
      <c r="M43" s="3"/>
      <c r="N43" s="3"/>
      <c r="O43" s="44"/>
      <c r="Q43" s="17">
        <v>42</v>
      </c>
      <c r="R43" s="17">
        <v>134</v>
      </c>
      <c r="S43" s="18">
        <v>0.39000000000001001</v>
      </c>
      <c r="T43" s="49">
        <v>50</v>
      </c>
      <c r="U43" s="1">
        <v>84.5</v>
      </c>
    </row>
    <row r="44" spans="1:21" x14ac:dyDescent="0.35">
      <c r="A44" s="33" t="s">
        <v>24</v>
      </c>
      <c r="B44" s="51">
        <f>B33</f>
        <v>226.49711458333331</v>
      </c>
      <c r="C44" s="3" t="s">
        <v>13</v>
      </c>
      <c r="D44" s="34"/>
      <c r="E44" s="33" t="s">
        <v>6</v>
      </c>
      <c r="F44" s="10">
        <f>((100-B20-B19)/100)*B26+2*F17-2*B41</f>
        <v>0</v>
      </c>
      <c r="G44" s="3"/>
      <c r="H44" s="34"/>
      <c r="I44" s="3"/>
      <c r="J44" s="33" t="s">
        <v>25</v>
      </c>
      <c r="K44" s="54">
        <f>K34*(K39-K30)</f>
        <v>10377.366547821288</v>
      </c>
      <c r="L44" s="34" t="s">
        <v>82</v>
      </c>
      <c r="M44" s="3"/>
      <c r="N44" s="3"/>
      <c r="O44" s="44"/>
      <c r="Q44" s="17">
        <v>43</v>
      </c>
      <c r="R44" s="2">
        <v>133</v>
      </c>
      <c r="S44" s="18">
        <v>0.380000000000011</v>
      </c>
      <c r="T44" s="49">
        <v>45</v>
      </c>
      <c r="U44" s="1">
        <v>84</v>
      </c>
    </row>
    <row r="45" spans="1:21" ht="15" thickBot="1" x14ac:dyDescent="0.4">
      <c r="A45" s="35" t="s">
        <v>60</v>
      </c>
      <c r="B45" s="52">
        <f>SUM(B40:B44)</f>
        <v>319.09064604398168</v>
      </c>
      <c r="C45" s="37" t="s">
        <v>13</v>
      </c>
      <c r="D45" s="38"/>
      <c r="E45" s="35" t="s">
        <v>48</v>
      </c>
      <c r="F45" s="46">
        <f>B33-B44</f>
        <v>0</v>
      </c>
      <c r="G45" s="37"/>
      <c r="H45" s="38"/>
      <c r="I45" s="3"/>
      <c r="J45" s="33" t="s">
        <v>45</v>
      </c>
      <c r="K45" s="54">
        <f>100*K43/F20</f>
        <v>24.629259618242422</v>
      </c>
      <c r="L45" s="34" t="s">
        <v>0</v>
      </c>
      <c r="M45" s="3"/>
      <c r="N45" s="3"/>
      <c r="O45" s="44"/>
      <c r="Q45" s="17">
        <v>44</v>
      </c>
      <c r="R45" s="17">
        <v>132</v>
      </c>
      <c r="S45" s="18">
        <v>0.37000000000001199</v>
      </c>
      <c r="T45" s="49">
        <v>40</v>
      </c>
      <c r="U45" s="1">
        <v>83.5</v>
      </c>
    </row>
    <row r="46" spans="1:21" x14ac:dyDescent="0.35">
      <c r="A46" s="3"/>
      <c r="B46" s="8">
        <f>(B11/100)*B45-B42</f>
        <v>-9.9999999991773336E-7</v>
      </c>
      <c r="C46" s="3"/>
      <c r="D46" s="3"/>
      <c r="E46" s="3"/>
      <c r="F46" s="3"/>
      <c r="G46" s="3"/>
      <c r="H46" s="3"/>
      <c r="I46" s="3"/>
      <c r="J46" s="33" t="s">
        <v>46</v>
      </c>
      <c r="K46" s="54">
        <f>100*K44/F20</f>
        <v>67.127521024540812</v>
      </c>
      <c r="L46" s="34" t="s">
        <v>0</v>
      </c>
      <c r="M46" s="3"/>
      <c r="N46" s="3"/>
      <c r="O46" s="44"/>
      <c r="Q46" s="17">
        <v>45</v>
      </c>
      <c r="R46" s="2">
        <v>131</v>
      </c>
      <c r="S46" s="18">
        <v>0.36000000000001298</v>
      </c>
      <c r="T46" s="49">
        <v>35</v>
      </c>
      <c r="U46" s="1">
        <v>83</v>
      </c>
    </row>
    <row r="47" spans="1:21" ht="15" thickBot="1" x14ac:dyDescent="0.4">
      <c r="A47" s="3"/>
      <c r="B47" s="3"/>
      <c r="C47" s="3"/>
      <c r="D47" s="3"/>
      <c r="E47" s="3"/>
      <c r="F47" s="3"/>
      <c r="G47" s="3"/>
      <c r="H47" s="3"/>
      <c r="I47" s="3"/>
      <c r="J47" s="35" t="s">
        <v>47</v>
      </c>
      <c r="K47" s="55">
        <f>SUM(K45:K46)</f>
        <v>91.756780642783241</v>
      </c>
      <c r="L47" s="38" t="s">
        <v>0</v>
      </c>
      <c r="M47" s="3"/>
      <c r="N47" s="3"/>
      <c r="O47" s="44"/>
      <c r="Q47" s="17">
        <v>46</v>
      </c>
      <c r="R47" s="17">
        <v>130</v>
      </c>
      <c r="S47" s="18">
        <v>0.35000000000001402</v>
      </c>
      <c r="T47" s="49">
        <v>30</v>
      </c>
      <c r="U47" s="1">
        <v>82.5</v>
      </c>
    </row>
    <row r="48" spans="1:2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4"/>
      <c r="Q48" s="17">
        <v>47</v>
      </c>
      <c r="R48" s="2">
        <v>129</v>
      </c>
      <c r="S48" s="18">
        <v>0.34000000000001501</v>
      </c>
      <c r="T48" s="49">
        <v>35</v>
      </c>
      <c r="U48" s="1">
        <v>82</v>
      </c>
    </row>
    <row r="49" spans="1:21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Q49" s="17">
        <v>48</v>
      </c>
      <c r="R49" s="17">
        <v>128</v>
      </c>
      <c r="S49" s="18">
        <v>0.330000000000016</v>
      </c>
      <c r="T49" s="49">
        <v>40</v>
      </c>
      <c r="U49" s="1">
        <v>81.5</v>
      </c>
    </row>
    <row r="50" spans="1:21" x14ac:dyDescent="0.35">
      <c r="Q50" s="17">
        <v>49</v>
      </c>
      <c r="R50" s="2">
        <v>127</v>
      </c>
      <c r="S50" s="18">
        <v>0.32000000000001699</v>
      </c>
      <c r="T50" s="49">
        <v>45</v>
      </c>
      <c r="U50" s="1">
        <v>81</v>
      </c>
    </row>
    <row r="51" spans="1:21" x14ac:dyDescent="0.35">
      <c r="Q51" s="17">
        <v>50</v>
      </c>
      <c r="R51" s="17">
        <v>126</v>
      </c>
      <c r="S51" s="18">
        <v>0.31000000000001798</v>
      </c>
      <c r="T51" s="49">
        <v>50</v>
      </c>
      <c r="U51" s="1">
        <v>80.5</v>
      </c>
    </row>
    <row r="52" spans="1:21" x14ac:dyDescent="0.35">
      <c r="Q52" s="17">
        <v>51</v>
      </c>
      <c r="R52" s="2">
        <v>125</v>
      </c>
      <c r="S52" s="18">
        <v>0.30000000000001897</v>
      </c>
      <c r="T52" s="49">
        <v>55</v>
      </c>
      <c r="U52" s="1">
        <v>80</v>
      </c>
    </row>
    <row r="53" spans="1:21" x14ac:dyDescent="0.35">
      <c r="Q53" s="17">
        <v>52</v>
      </c>
      <c r="R53" s="2">
        <v>126</v>
      </c>
      <c r="S53" s="18">
        <v>0.29000000000002002</v>
      </c>
      <c r="T53" s="49">
        <v>60</v>
      </c>
      <c r="U53" s="1">
        <v>79.5</v>
      </c>
    </row>
    <row r="54" spans="1:21" x14ac:dyDescent="0.35">
      <c r="Q54" s="17">
        <v>53</v>
      </c>
      <c r="R54" s="2">
        <v>127</v>
      </c>
      <c r="S54" s="18">
        <v>0.28000000000002101</v>
      </c>
      <c r="T54" s="49">
        <v>60</v>
      </c>
      <c r="U54" s="1">
        <v>79</v>
      </c>
    </row>
    <row r="55" spans="1:21" x14ac:dyDescent="0.35">
      <c r="Q55" s="17">
        <v>54</v>
      </c>
      <c r="R55" s="2">
        <v>128</v>
      </c>
      <c r="S55" s="18">
        <v>0.270000000000022</v>
      </c>
      <c r="T55" s="49">
        <v>55</v>
      </c>
      <c r="U55" s="1">
        <v>78.5</v>
      </c>
    </row>
    <row r="56" spans="1:21" x14ac:dyDescent="0.35">
      <c r="Q56" s="17">
        <v>55</v>
      </c>
      <c r="R56" s="2">
        <v>129</v>
      </c>
      <c r="S56" s="18">
        <v>0.26000000000002299</v>
      </c>
      <c r="T56" s="49">
        <v>50</v>
      </c>
      <c r="U56" s="1">
        <v>78</v>
      </c>
    </row>
    <row r="57" spans="1:21" x14ac:dyDescent="0.35">
      <c r="Q57" s="17">
        <v>56</v>
      </c>
      <c r="R57" s="2">
        <v>130</v>
      </c>
      <c r="S57" s="18">
        <v>0.25000000000002398</v>
      </c>
      <c r="T57" s="49">
        <v>45</v>
      </c>
      <c r="U57" s="1">
        <v>77.5</v>
      </c>
    </row>
    <row r="58" spans="1:21" x14ac:dyDescent="0.35">
      <c r="Q58" s="17">
        <v>57</v>
      </c>
      <c r="R58" s="2">
        <v>131</v>
      </c>
      <c r="S58" s="18">
        <v>0.240000000000025</v>
      </c>
      <c r="T58" s="49">
        <v>40</v>
      </c>
      <c r="U58" s="1">
        <v>77</v>
      </c>
    </row>
    <row r="59" spans="1:21" x14ac:dyDescent="0.35">
      <c r="Q59" s="17">
        <v>58</v>
      </c>
      <c r="R59" s="2">
        <v>132</v>
      </c>
      <c r="S59" s="18">
        <v>0.23000000000002599</v>
      </c>
      <c r="T59" s="49">
        <v>35</v>
      </c>
      <c r="U59" s="1">
        <v>76.5</v>
      </c>
    </row>
    <row r="60" spans="1:21" x14ac:dyDescent="0.35">
      <c r="Q60" s="17">
        <v>59</v>
      </c>
      <c r="R60" s="2">
        <v>133</v>
      </c>
      <c r="S60" s="18">
        <v>0.22000000000002701</v>
      </c>
      <c r="T60" s="49">
        <v>30</v>
      </c>
      <c r="U60" s="1">
        <v>76</v>
      </c>
    </row>
    <row r="61" spans="1:21" x14ac:dyDescent="0.35">
      <c r="Q61" s="17">
        <v>60</v>
      </c>
      <c r="R61" s="2">
        <v>134</v>
      </c>
      <c r="S61" s="18">
        <v>0.210000000000028</v>
      </c>
      <c r="T61" s="49">
        <v>35</v>
      </c>
      <c r="U61" s="1">
        <v>75.5</v>
      </c>
    </row>
    <row r="62" spans="1:21" x14ac:dyDescent="0.35">
      <c r="Q62" s="17">
        <v>61</v>
      </c>
      <c r="R62" s="2">
        <v>135</v>
      </c>
      <c r="S62" s="18">
        <v>0.20000000000002899</v>
      </c>
      <c r="T62" s="49">
        <v>40</v>
      </c>
      <c r="U62" s="1">
        <v>75</v>
      </c>
    </row>
    <row r="63" spans="1:21" x14ac:dyDescent="0.35">
      <c r="Q63" s="17">
        <v>62</v>
      </c>
      <c r="R63" s="2">
        <v>136</v>
      </c>
      <c r="S63" s="18">
        <v>0.21</v>
      </c>
      <c r="T63" s="49">
        <v>45</v>
      </c>
      <c r="U63" s="1">
        <v>75.5</v>
      </c>
    </row>
    <row r="64" spans="1:21" x14ac:dyDescent="0.35">
      <c r="Q64" s="17">
        <v>63</v>
      </c>
      <c r="R64" s="2">
        <v>137</v>
      </c>
      <c r="S64" s="18">
        <v>0.219999999999971</v>
      </c>
      <c r="T64" s="49">
        <v>50</v>
      </c>
      <c r="U64" s="1">
        <v>76</v>
      </c>
    </row>
    <row r="65" spans="4:21" x14ac:dyDescent="0.35">
      <c r="Q65" s="17">
        <v>64</v>
      </c>
      <c r="R65" s="2">
        <v>138</v>
      </c>
      <c r="S65" s="18">
        <v>0.229999999999942</v>
      </c>
      <c r="T65" s="49">
        <v>55</v>
      </c>
      <c r="U65" s="1">
        <v>76.5</v>
      </c>
    </row>
    <row r="66" spans="4:21" x14ac:dyDescent="0.35">
      <c r="D66" s="19"/>
      <c r="E66" s="17"/>
      <c r="F66" s="17"/>
      <c r="G66" s="17"/>
      <c r="H66" s="17"/>
      <c r="I66" s="17"/>
      <c r="J66" s="17"/>
      <c r="K66" s="17"/>
      <c r="L66" s="17"/>
      <c r="M66" s="17"/>
      <c r="N66" s="17"/>
      <c r="Q66" s="17">
        <v>65</v>
      </c>
      <c r="R66" s="2">
        <v>139</v>
      </c>
      <c r="S66" s="18">
        <v>0.23999999999991301</v>
      </c>
      <c r="T66" s="49">
        <v>60</v>
      </c>
      <c r="U66" s="1">
        <v>77</v>
      </c>
    </row>
    <row r="67" spans="4:21" x14ac:dyDescent="0.35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Q67" s="17">
        <v>66</v>
      </c>
      <c r="R67" s="2">
        <v>140</v>
      </c>
      <c r="S67" s="18">
        <v>0.24999999999988401</v>
      </c>
      <c r="T67" s="49">
        <v>60</v>
      </c>
      <c r="U67" s="1">
        <v>77.5</v>
      </c>
    </row>
    <row r="68" spans="4:21" x14ac:dyDescent="0.35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Q68" s="17">
        <v>67</v>
      </c>
      <c r="R68" s="2">
        <v>141</v>
      </c>
      <c r="S68" s="18">
        <v>0.25999999999985501</v>
      </c>
      <c r="T68" s="49">
        <v>55</v>
      </c>
      <c r="U68" s="1">
        <v>78</v>
      </c>
    </row>
    <row r="69" spans="4:21" x14ac:dyDescent="0.35">
      <c r="D69" s="17"/>
      <c r="E69" s="17"/>
      <c r="F69" s="17"/>
      <c r="G69" s="17"/>
      <c r="H69" s="17"/>
      <c r="I69" s="17"/>
      <c r="J69" s="20"/>
      <c r="K69" s="19"/>
      <c r="L69" s="19"/>
      <c r="M69" s="17"/>
      <c r="N69" s="17"/>
      <c r="Q69" s="17">
        <v>68</v>
      </c>
      <c r="R69" s="2">
        <v>142</v>
      </c>
      <c r="S69" s="18">
        <v>0.26999999999982599</v>
      </c>
      <c r="T69" s="49">
        <v>50</v>
      </c>
      <c r="U69" s="1">
        <v>78.5</v>
      </c>
    </row>
    <row r="70" spans="4:21" x14ac:dyDescent="0.35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Q70" s="17">
        <v>69</v>
      </c>
      <c r="R70" s="2">
        <v>143</v>
      </c>
      <c r="S70" s="18">
        <v>0.27999999999979702</v>
      </c>
      <c r="T70" s="49">
        <v>45</v>
      </c>
      <c r="U70" s="1">
        <v>79</v>
      </c>
    </row>
    <row r="71" spans="4:21" x14ac:dyDescent="0.35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Q71" s="17">
        <v>70</v>
      </c>
      <c r="R71" s="2">
        <v>144</v>
      </c>
      <c r="S71" s="18">
        <v>0.289999999999768</v>
      </c>
      <c r="T71" s="49">
        <v>40</v>
      </c>
      <c r="U71" s="1">
        <v>79.5</v>
      </c>
    </row>
    <row r="72" spans="4:21" x14ac:dyDescent="0.35">
      <c r="Q72" s="17">
        <v>71</v>
      </c>
      <c r="R72" s="2">
        <v>145</v>
      </c>
      <c r="S72" s="18">
        <v>0.29999999999973898</v>
      </c>
      <c r="T72" s="49">
        <v>35</v>
      </c>
      <c r="U72" s="1">
        <v>80</v>
      </c>
    </row>
    <row r="73" spans="4:21" x14ac:dyDescent="0.35">
      <c r="Q73" s="17">
        <v>72</v>
      </c>
      <c r="R73" s="2">
        <v>146</v>
      </c>
      <c r="S73" s="18">
        <v>0.30999999999971001</v>
      </c>
      <c r="T73" s="49">
        <v>30</v>
      </c>
      <c r="U73" s="1">
        <v>80.5</v>
      </c>
    </row>
    <row r="74" spans="4:21" x14ac:dyDescent="0.35">
      <c r="Q74" s="17">
        <v>73</v>
      </c>
      <c r="R74" s="2">
        <v>147</v>
      </c>
      <c r="S74" s="18">
        <v>0.31999999999968098</v>
      </c>
      <c r="T74" s="49">
        <v>35</v>
      </c>
      <c r="U74" s="1">
        <v>81</v>
      </c>
    </row>
    <row r="75" spans="4:21" x14ac:dyDescent="0.35">
      <c r="Q75" s="17">
        <v>74</v>
      </c>
      <c r="R75" s="2">
        <v>148</v>
      </c>
      <c r="S75" s="18">
        <v>0.32999999999965202</v>
      </c>
      <c r="T75" s="49">
        <v>40</v>
      </c>
      <c r="U75" s="1">
        <v>81.5</v>
      </c>
    </row>
    <row r="76" spans="4:21" x14ac:dyDescent="0.35">
      <c r="Q76" s="17">
        <v>75</v>
      </c>
      <c r="R76" s="2">
        <v>149</v>
      </c>
      <c r="S76" s="18">
        <v>0.33999999999962299</v>
      </c>
      <c r="T76" s="49">
        <v>45</v>
      </c>
      <c r="U76" s="1">
        <v>82</v>
      </c>
    </row>
    <row r="77" spans="4:21" x14ac:dyDescent="0.35">
      <c r="Q77" s="17">
        <v>76</v>
      </c>
      <c r="R77" s="2">
        <v>150</v>
      </c>
      <c r="S77" s="18">
        <v>0.34999999999959402</v>
      </c>
      <c r="T77" s="49">
        <v>50</v>
      </c>
      <c r="U77" s="1">
        <v>82.5</v>
      </c>
    </row>
    <row r="78" spans="4:21" x14ac:dyDescent="0.35">
      <c r="Q78" s="17">
        <v>77</v>
      </c>
      <c r="R78" s="49">
        <v>149</v>
      </c>
      <c r="S78" s="18">
        <v>0.359999999999565</v>
      </c>
      <c r="T78" s="49">
        <v>55</v>
      </c>
      <c r="U78" s="1">
        <v>83</v>
      </c>
    </row>
    <row r="79" spans="4:21" x14ac:dyDescent="0.35">
      <c r="Q79" s="17">
        <v>78</v>
      </c>
      <c r="R79" s="2">
        <v>148</v>
      </c>
      <c r="S79" s="18">
        <v>0.36999999999953598</v>
      </c>
      <c r="T79" s="49">
        <v>60</v>
      </c>
      <c r="U79" s="1">
        <v>83.5</v>
      </c>
    </row>
    <row r="80" spans="4:21" x14ac:dyDescent="0.35">
      <c r="Q80" s="17">
        <v>79</v>
      </c>
      <c r="R80" s="49">
        <v>147</v>
      </c>
      <c r="S80" s="18">
        <v>0.37999999999950701</v>
      </c>
      <c r="T80" s="49">
        <v>60</v>
      </c>
      <c r="U80" s="1">
        <v>84</v>
      </c>
    </row>
    <row r="81" spans="17:21" x14ac:dyDescent="0.35">
      <c r="Q81" s="17">
        <v>80</v>
      </c>
      <c r="R81" s="2">
        <v>146</v>
      </c>
      <c r="S81" s="18">
        <v>0.38999999999947799</v>
      </c>
      <c r="T81" s="49">
        <v>55</v>
      </c>
      <c r="U81" s="1">
        <v>84.5</v>
      </c>
    </row>
    <row r="82" spans="17:21" x14ac:dyDescent="0.35">
      <c r="Q82" s="17">
        <v>81</v>
      </c>
      <c r="R82" s="49">
        <v>145</v>
      </c>
      <c r="S82" s="18">
        <v>0.39999999999944902</v>
      </c>
      <c r="T82" s="49">
        <v>50</v>
      </c>
      <c r="U82" s="1">
        <v>85</v>
      </c>
    </row>
    <row r="83" spans="17:21" x14ac:dyDescent="0.35">
      <c r="Q83" s="17">
        <v>82</v>
      </c>
      <c r="R83" s="2">
        <v>144</v>
      </c>
      <c r="S83" s="18">
        <v>0.40999999999942</v>
      </c>
      <c r="T83" s="49">
        <v>45</v>
      </c>
      <c r="U83" s="1">
        <v>85.5</v>
      </c>
    </row>
    <row r="84" spans="17:21" x14ac:dyDescent="0.35">
      <c r="Q84" s="17">
        <v>83</v>
      </c>
      <c r="R84" s="49">
        <v>143</v>
      </c>
      <c r="S84" s="18">
        <v>0.41999999999939103</v>
      </c>
      <c r="T84" s="49">
        <v>40</v>
      </c>
      <c r="U84" s="1">
        <v>86</v>
      </c>
    </row>
    <row r="85" spans="17:21" x14ac:dyDescent="0.35">
      <c r="Q85" s="17">
        <v>84</v>
      </c>
      <c r="R85" s="2">
        <v>142</v>
      </c>
      <c r="S85" s="18">
        <v>0.429999999999362</v>
      </c>
      <c r="T85" s="49">
        <v>35</v>
      </c>
      <c r="U85" s="1">
        <v>86.5</v>
      </c>
    </row>
    <row r="86" spans="17:21" x14ac:dyDescent="0.35">
      <c r="Q86" s="17">
        <v>85</v>
      </c>
      <c r="R86" s="49">
        <v>141</v>
      </c>
      <c r="S86" s="18">
        <v>0.43999999999933298</v>
      </c>
      <c r="T86" s="49">
        <v>30</v>
      </c>
      <c r="U86" s="1">
        <v>87</v>
      </c>
    </row>
    <row r="87" spans="17:21" x14ac:dyDescent="0.35">
      <c r="Q87" s="17">
        <v>86</v>
      </c>
      <c r="R87" s="2">
        <v>140</v>
      </c>
      <c r="S87" s="18">
        <v>0.44999999999930401</v>
      </c>
      <c r="T87" s="49">
        <v>35</v>
      </c>
      <c r="U87" s="1">
        <v>87.5</v>
      </c>
    </row>
    <row r="88" spans="17:21" x14ac:dyDescent="0.35">
      <c r="Q88" s="17">
        <v>87</v>
      </c>
      <c r="R88" s="49">
        <v>139</v>
      </c>
      <c r="S88" s="18">
        <v>0.45999999999927499</v>
      </c>
      <c r="T88" s="49">
        <v>40</v>
      </c>
      <c r="U88" s="1">
        <v>88</v>
      </c>
    </row>
    <row r="89" spans="17:21" x14ac:dyDescent="0.35">
      <c r="Q89" s="17">
        <v>88</v>
      </c>
      <c r="R89" s="2">
        <v>138</v>
      </c>
      <c r="S89" s="18">
        <v>0.46999999999924602</v>
      </c>
      <c r="T89" s="49">
        <v>45</v>
      </c>
      <c r="U89" s="1">
        <v>88.5</v>
      </c>
    </row>
    <row r="90" spans="17:21" x14ac:dyDescent="0.35">
      <c r="Q90" s="17">
        <v>89</v>
      </c>
      <c r="R90" s="49">
        <v>137</v>
      </c>
      <c r="S90" s="18">
        <v>0.479999999999217</v>
      </c>
      <c r="T90" s="49">
        <v>50</v>
      </c>
      <c r="U90" s="1">
        <v>89</v>
      </c>
    </row>
    <row r="91" spans="17:21" x14ac:dyDescent="0.35">
      <c r="Q91" s="17">
        <v>90</v>
      </c>
      <c r="R91" s="2">
        <v>136</v>
      </c>
      <c r="S91" s="18">
        <v>0.48999999999918797</v>
      </c>
      <c r="T91" s="49">
        <v>55</v>
      </c>
      <c r="U91" s="1">
        <v>89.5</v>
      </c>
    </row>
    <row r="92" spans="17:21" x14ac:dyDescent="0.35">
      <c r="Q92" s="17">
        <v>91</v>
      </c>
      <c r="R92" s="49">
        <v>135</v>
      </c>
      <c r="S92" s="18">
        <v>0.49999999999915901</v>
      </c>
      <c r="T92" s="49">
        <v>60</v>
      </c>
      <c r="U92" s="1">
        <v>90</v>
      </c>
    </row>
    <row r="93" spans="17:21" x14ac:dyDescent="0.35">
      <c r="Q93" s="17">
        <v>92</v>
      </c>
      <c r="R93" s="2">
        <v>134</v>
      </c>
      <c r="S93" s="18">
        <v>0.49</v>
      </c>
      <c r="T93" s="49">
        <v>60</v>
      </c>
      <c r="U93" s="1">
        <v>89.5</v>
      </c>
    </row>
    <row r="94" spans="17:21" x14ac:dyDescent="0.35">
      <c r="Q94" s="17">
        <v>93</v>
      </c>
      <c r="R94" s="49">
        <v>133</v>
      </c>
      <c r="S94" s="18">
        <v>0.48000000000084098</v>
      </c>
      <c r="T94" s="49">
        <v>55</v>
      </c>
      <c r="U94" s="1">
        <v>89</v>
      </c>
    </row>
    <row r="95" spans="17:21" x14ac:dyDescent="0.35">
      <c r="Q95" s="17">
        <v>94</v>
      </c>
      <c r="R95" s="2">
        <v>132</v>
      </c>
      <c r="S95" s="18">
        <v>0.47000000000168202</v>
      </c>
      <c r="T95" s="49">
        <v>50</v>
      </c>
      <c r="U95" s="1">
        <v>88.5</v>
      </c>
    </row>
    <row r="96" spans="17:21" x14ac:dyDescent="0.35">
      <c r="Q96" s="17">
        <v>95</v>
      </c>
      <c r="R96" s="49">
        <v>131</v>
      </c>
      <c r="S96" s="18">
        <v>0.460000000002523</v>
      </c>
      <c r="T96" s="49">
        <v>45</v>
      </c>
      <c r="U96" s="1">
        <v>88</v>
      </c>
    </row>
    <row r="97" spans="17:21" x14ac:dyDescent="0.35">
      <c r="Q97" s="17">
        <v>96</v>
      </c>
      <c r="R97" s="2">
        <v>130</v>
      </c>
      <c r="S97" s="18">
        <v>0.45000000000336399</v>
      </c>
      <c r="T97" s="49">
        <v>40</v>
      </c>
      <c r="U97" s="1">
        <v>87.5</v>
      </c>
    </row>
    <row r="98" spans="17:21" x14ac:dyDescent="0.35">
      <c r="Q98" s="17">
        <v>97</v>
      </c>
      <c r="R98" s="49">
        <v>129</v>
      </c>
      <c r="S98" s="18">
        <v>0.44000000000420503</v>
      </c>
      <c r="T98" s="49">
        <v>35</v>
      </c>
      <c r="U98" s="1">
        <v>87</v>
      </c>
    </row>
    <row r="99" spans="17:21" x14ac:dyDescent="0.35">
      <c r="Q99" s="17">
        <v>98</v>
      </c>
      <c r="R99" s="2">
        <v>128</v>
      </c>
      <c r="S99" s="18">
        <v>0.43000000000504601</v>
      </c>
      <c r="T99" s="49">
        <v>30</v>
      </c>
      <c r="U99" s="1">
        <v>86.5</v>
      </c>
    </row>
    <row r="100" spans="17:21" x14ac:dyDescent="0.35">
      <c r="Q100" s="17">
        <v>99</v>
      </c>
      <c r="R100" s="49">
        <v>127</v>
      </c>
      <c r="S100" s="18">
        <v>0.420000000005887</v>
      </c>
      <c r="T100" s="49">
        <v>35</v>
      </c>
      <c r="U100" s="1">
        <v>86</v>
      </c>
    </row>
    <row r="101" spans="17:21" x14ac:dyDescent="0.35">
      <c r="Q101" s="17">
        <v>100</v>
      </c>
      <c r="R101" s="2">
        <v>126</v>
      </c>
      <c r="S101" s="18">
        <v>0.41000000000672798</v>
      </c>
      <c r="T101" s="49">
        <v>40</v>
      </c>
      <c r="U101" s="1">
        <v>85.5</v>
      </c>
    </row>
    <row r="102" spans="17:21" x14ac:dyDescent="0.35">
      <c r="Q102" s="17">
        <v>101</v>
      </c>
      <c r="R102" s="49">
        <v>125</v>
      </c>
      <c r="S102" s="18">
        <v>0.40000000000756902</v>
      </c>
      <c r="T102" s="49">
        <v>45</v>
      </c>
      <c r="U102" s="1">
        <v>85</v>
      </c>
    </row>
    <row r="103" spans="17:21" x14ac:dyDescent="0.35">
      <c r="Q103" s="17">
        <v>102</v>
      </c>
      <c r="R103" s="49">
        <v>126</v>
      </c>
      <c r="S103" s="18">
        <v>0.39000000000841001</v>
      </c>
      <c r="T103" s="49">
        <v>50</v>
      </c>
      <c r="U103" s="1">
        <v>84.5</v>
      </c>
    </row>
    <row r="104" spans="17:21" x14ac:dyDescent="0.35">
      <c r="Q104" s="17">
        <v>103</v>
      </c>
      <c r="R104" s="49">
        <v>127</v>
      </c>
      <c r="S104" s="18">
        <v>0.38000000000925099</v>
      </c>
      <c r="T104" s="49">
        <v>55</v>
      </c>
      <c r="U104" s="1">
        <v>84</v>
      </c>
    </row>
    <row r="105" spans="17:21" x14ac:dyDescent="0.35">
      <c r="Q105" s="17">
        <v>104</v>
      </c>
      <c r="R105" s="49">
        <v>128</v>
      </c>
      <c r="S105" s="18">
        <v>0.37000000001009198</v>
      </c>
      <c r="T105" s="49">
        <v>60</v>
      </c>
      <c r="U105" s="1">
        <v>83.5</v>
      </c>
    </row>
    <row r="106" spans="17:21" x14ac:dyDescent="0.35">
      <c r="Q106" s="17">
        <v>105</v>
      </c>
      <c r="R106" s="49">
        <v>129</v>
      </c>
      <c r="S106" s="18">
        <v>0.36000000001093302</v>
      </c>
      <c r="T106" s="49">
        <v>55</v>
      </c>
      <c r="U106" s="1">
        <v>83</v>
      </c>
    </row>
    <row r="107" spans="17:21" x14ac:dyDescent="0.35">
      <c r="Q107" s="17">
        <v>106</v>
      </c>
      <c r="R107" s="49">
        <v>130</v>
      </c>
      <c r="S107" s="18">
        <v>0.350000000011774</v>
      </c>
      <c r="T107" s="49">
        <v>50</v>
      </c>
      <c r="U107" s="1">
        <v>82.5</v>
      </c>
    </row>
    <row r="108" spans="17:21" x14ac:dyDescent="0.35">
      <c r="Q108" s="17">
        <v>107</v>
      </c>
      <c r="R108" s="49">
        <v>131</v>
      </c>
      <c r="S108" s="18">
        <v>0.34000000001261499</v>
      </c>
      <c r="T108" s="49">
        <v>45</v>
      </c>
      <c r="U108" s="1">
        <v>82</v>
      </c>
    </row>
    <row r="109" spans="17:21" x14ac:dyDescent="0.35">
      <c r="Q109" s="17">
        <v>108</v>
      </c>
      <c r="R109" s="49">
        <v>132</v>
      </c>
      <c r="S109" s="18">
        <v>0.33000000001345597</v>
      </c>
      <c r="T109" s="49">
        <v>40</v>
      </c>
      <c r="U109" s="1">
        <v>81.5</v>
      </c>
    </row>
    <row r="110" spans="17:21" x14ac:dyDescent="0.35">
      <c r="Q110" s="17">
        <v>109</v>
      </c>
      <c r="R110" s="49">
        <v>133</v>
      </c>
      <c r="S110" s="18">
        <v>0.32000000001429701</v>
      </c>
      <c r="T110" s="49">
        <v>35</v>
      </c>
      <c r="U110" s="1">
        <v>81</v>
      </c>
    </row>
    <row r="111" spans="17:21" x14ac:dyDescent="0.35">
      <c r="Q111" s="17">
        <v>110</v>
      </c>
      <c r="R111" s="49">
        <v>134</v>
      </c>
      <c r="S111" s="18">
        <v>0.310000000015138</v>
      </c>
      <c r="T111" s="49">
        <v>30</v>
      </c>
      <c r="U111" s="1">
        <v>80.5</v>
      </c>
    </row>
    <row r="112" spans="17:21" x14ac:dyDescent="0.35">
      <c r="Q112" s="17">
        <v>111</v>
      </c>
      <c r="R112" s="49">
        <v>135</v>
      </c>
      <c r="S112" s="18">
        <v>0.30000000001597898</v>
      </c>
      <c r="T112" s="49">
        <v>35</v>
      </c>
      <c r="U112" s="1">
        <v>80</v>
      </c>
    </row>
    <row r="113" spans="17:21" x14ac:dyDescent="0.35">
      <c r="Q113" s="17">
        <v>112</v>
      </c>
      <c r="R113" s="49">
        <v>136</v>
      </c>
      <c r="S113" s="18">
        <v>0.29000000001682003</v>
      </c>
      <c r="T113" s="49">
        <v>40</v>
      </c>
      <c r="U113" s="1">
        <v>79.5</v>
      </c>
    </row>
    <row r="114" spans="17:21" x14ac:dyDescent="0.35">
      <c r="Q114" s="17">
        <v>113</v>
      </c>
      <c r="R114" s="49">
        <v>137</v>
      </c>
      <c r="S114" s="18">
        <v>0.28000000001766101</v>
      </c>
      <c r="T114" s="49">
        <v>45</v>
      </c>
      <c r="U114" s="1">
        <v>79</v>
      </c>
    </row>
    <row r="115" spans="17:21" x14ac:dyDescent="0.35">
      <c r="Q115" s="17">
        <v>114</v>
      </c>
      <c r="R115" s="49">
        <v>138</v>
      </c>
      <c r="S115" s="18">
        <v>0.270000000018502</v>
      </c>
      <c r="T115" s="49">
        <v>50</v>
      </c>
      <c r="U115" s="1">
        <v>78.5</v>
      </c>
    </row>
    <row r="116" spans="17:21" x14ac:dyDescent="0.35">
      <c r="Q116" s="17">
        <v>115</v>
      </c>
      <c r="R116" s="49">
        <v>139</v>
      </c>
      <c r="S116" s="18">
        <v>0.26000000001934298</v>
      </c>
      <c r="T116" s="49">
        <v>55</v>
      </c>
      <c r="U116" s="1">
        <v>78</v>
      </c>
    </row>
    <row r="117" spans="17:21" x14ac:dyDescent="0.35">
      <c r="Q117" s="17">
        <v>116</v>
      </c>
      <c r="R117" s="49">
        <v>140</v>
      </c>
      <c r="S117" s="18">
        <v>0.25000000002018402</v>
      </c>
      <c r="T117" s="49">
        <v>60</v>
      </c>
      <c r="U117" s="1">
        <v>77.5</v>
      </c>
    </row>
    <row r="118" spans="17:21" x14ac:dyDescent="0.35">
      <c r="Q118" s="17">
        <v>117</v>
      </c>
      <c r="R118" s="49">
        <v>141</v>
      </c>
      <c r="S118" s="18">
        <v>0.24000000002102501</v>
      </c>
      <c r="T118" s="49">
        <v>55</v>
      </c>
      <c r="U118" s="1">
        <v>77</v>
      </c>
    </row>
    <row r="119" spans="17:21" x14ac:dyDescent="0.35">
      <c r="Q119" s="17">
        <v>118</v>
      </c>
      <c r="R119" s="49">
        <v>142</v>
      </c>
      <c r="S119" s="18">
        <v>0.23000000002186599</v>
      </c>
      <c r="T119" s="49">
        <v>50</v>
      </c>
      <c r="U119" s="1">
        <v>76.5</v>
      </c>
    </row>
    <row r="120" spans="17:21" x14ac:dyDescent="0.35">
      <c r="Q120" s="17">
        <v>119</v>
      </c>
      <c r="R120" s="49">
        <v>143</v>
      </c>
      <c r="S120" s="18">
        <v>0.220000000022707</v>
      </c>
      <c r="T120" s="49">
        <v>45</v>
      </c>
      <c r="U120" s="1">
        <v>76</v>
      </c>
    </row>
    <row r="121" spans="17:21" x14ac:dyDescent="0.35">
      <c r="Q121" s="17">
        <v>120</v>
      </c>
      <c r="R121" s="49">
        <v>144</v>
      </c>
      <c r="S121" s="18">
        <v>0.21000000002354799</v>
      </c>
      <c r="T121" s="49">
        <v>40</v>
      </c>
      <c r="U121" s="1">
        <v>75.5</v>
      </c>
    </row>
    <row r="122" spans="17:21" x14ac:dyDescent="0.35">
      <c r="Q122" s="17">
        <v>121</v>
      </c>
      <c r="R122" s="49">
        <v>145</v>
      </c>
      <c r="S122" s="18">
        <v>0.23</v>
      </c>
      <c r="T122" s="49">
        <v>35</v>
      </c>
      <c r="U122" s="1">
        <v>76</v>
      </c>
    </row>
    <row r="123" spans="17:21" x14ac:dyDescent="0.35">
      <c r="Q123" s="17">
        <v>122</v>
      </c>
      <c r="R123" s="49">
        <v>146</v>
      </c>
      <c r="S123" s="18">
        <v>0.249999999976452</v>
      </c>
      <c r="T123" s="49">
        <v>30</v>
      </c>
      <c r="U123" s="1">
        <v>76.5</v>
      </c>
    </row>
    <row r="124" spans="17:21" x14ac:dyDescent="0.35">
      <c r="Q124" s="17">
        <v>123</v>
      </c>
      <c r="R124" s="49">
        <v>147</v>
      </c>
      <c r="S124" s="18">
        <v>0.26999999995290402</v>
      </c>
      <c r="T124" s="49">
        <v>35</v>
      </c>
      <c r="U124" s="1">
        <v>77</v>
      </c>
    </row>
    <row r="125" spans="17:21" x14ac:dyDescent="0.35">
      <c r="Q125" s="17">
        <v>124</v>
      </c>
      <c r="R125" s="49">
        <v>148</v>
      </c>
      <c r="S125" s="18">
        <v>0.28999999992935599</v>
      </c>
      <c r="T125" s="49">
        <v>40</v>
      </c>
      <c r="U125" s="1">
        <v>77.5</v>
      </c>
    </row>
    <row r="126" spans="17:21" x14ac:dyDescent="0.35">
      <c r="Q126" s="17">
        <v>125</v>
      </c>
      <c r="R126" s="49">
        <v>149</v>
      </c>
      <c r="S126" s="18">
        <v>0.30999999990580801</v>
      </c>
      <c r="T126" s="49">
        <v>45</v>
      </c>
      <c r="U126" s="1">
        <v>78</v>
      </c>
    </row>
    <row r="127" spans="17:21" x14ac:dyDescent="0.35">
      <c r="Q127" s="17">
        <v>126</v>
      </c>
      <c r="R127" s="49">
        <v>150</v>
      </c>
      <c r="S127" s="18">
        <v>0.32999999988225998</v>
      </c>
      <c r="T127" s="49">
        <v>50</v>
      </c>
      <c r="U127" s="1">
        <v>78.5</v>
      </c>
    </row>
    <row r="128" spans="17:21" x14ac:dyDescent="0.35">
      <c r="Q128" s="17">
        <v>127</v>
      </c>
      <c r="R128" s="49">
        <v>151</v>
      </c>
      <c r="S128" s="18">
        <v>0.349999999858712</v>
      </c>
      <c r="T128" s="49">
        <v>55</v>
      </c>
      <c r="U128" s="1">
        <v>79</v>
      </c>
    </row>
    <row r="129" spans="17:21" x14ac:dyDescent="0.35">
      <c r="Q129" s="17">
        <v>128</v>
      </c>
      <c r="R129" s="49">
        <v>152</v>
      </c>
      <c r="S129" s="18">
        <v>0.36999999983516402</v>
      </c>
      <c r="T129" s="49">
        <v>50</v>
      </c>
      <c r="U129" s="1">
        <v>79.5</v>
      </c>
    </row>
    <row r="130" spans="17:21" x14ac:dyDescent="0.35">
      <c r="Q130" s="17">
        <v>129</v>
      </c>
      <c r="R130" s="49">
        <v>153</v>
      </c>
      <c r="S130" s="18">
        <v>0.38999999981161598</v>
      </c>
      <c r="T130" s="49">
        <v>45</v>
      </c>
      <c r="U130" s="1">
        <v>80</v>
      </c>
    </row>
    <row r="131" spans="17:21" x14ac:dyDescent="0.35">
      <c r="Q131" s="17">
        <v>130</v>
      </c>
      <c r="R131" s="49">
        <v>154</v>
      </c>
      <c r="S131" s="18">
        <v>0.409999999788068</v>
      </c>
      <c r="T131" s="49">
        <v>40</v>
      </c>
      <c r="U131" s="1">
        <v>80.5</v>
      </c>
    </row>
    <row r="132" spans="17:21" x14ac:dyDescent="0.35">
      <c r="Q132" s="17">
        <v>131</v>
      </c>
      <c r="R132" s="49">
        <v>155</v>
      </c>
      <c r="S132" s="18">
        <v>0.42999999976452002</v>
      </c>
      <c r="T132" s="49">
        <v>35</v>
      </c>
      <c r="U132" s="1">
        <v>81</v>
      </c>
    </row>
    <row r="133" spans="17:21" x14ac:dyDescent="0.35">
      <c r="Q133" s="17">
        <v>132</v>
      </c>
      <c r="R133" s="49">
        <v>154</v>
      </c>
      <c r="S133" s="18">
        <v>0.44999999974097199</v>
      </c>
      <c r="T133" s="49">
        <v>30</v>
      </c>
      <c r="U133" s="1">
        <v>81.5</v>
      </c>
    </row>
    <row r="134" spans="17:21" x14ac:dyDescent="0.35">
      <c r="Q134" s="17">
        <v>133</v>
      </c>
      <c r="R134" s="49">
        <v>153</v>
      </c>
      <c r="S134" s="18">
        <v>0.46999999971742401</v>
      </c>
      <c r="T134" s="49">
        <v>35</v>
      </c>
      <c r="U134" s="1">
        <v>82</v>
      </c>
    </row>
    <row r="135" spans="17:21" x14ac:dyDescent="0.35">
      <c r="Q135" s="17">
        <v>134</v>
      </c>
      <c r="R135" s="49">
        <v>152</v>
      </c>
      <c r="S135" s="18">
        <v>0.48999999969387598</v>
      </c>
      <c r="T135" s="49">
        <v>40</v>
      </c>
      <c r="U135" s="1">
        <v>82.5</v>
      </c>
    </row>
    <row r="136" spans="17:21" x14ac:dyDescent="0.35">
      <c r="Q136" s="17">
        <v>135</v>
      </c>
      <c r="R136" s="49">
        <v>151</v>
      </c>
      <c r="S136" s="18">
        <v>0.50999999967032805</v>
      </c>
      <c r="T136" s="49">
        <v>45</v>
      </c>
      <c r="U136" s="1">
        <v>83</v>
      </c>
    </row>
    <row r="137" spans="17:21" x14ac:dyDescent="0.35">
      <c r="Q137" s="17">
        <v>136</v>
      </c>
      <c r="R137" s="49">
        <v>150</v>
      </c>
      <c r="S137" s="18">
        <v>0.52999999964678002</v>
      </c>
      <c r="T137" s="49">
        <v>50</v>
      </c>
      <c r="U137" s="1">
        <v>83.5</v>
      </c>
    </row>
    <row r="138" spans="17:21" x14ac:dyDescent="0.35">
      <c r="Q138" s="17">
        <v>137</v>
      </c>
      <c r="R138" s="49">
        <v>149</v>
      </c>
      <c r="S138" s="18">
        <v>0.54999999962323198</v>
      </c>
      <c r="T138" s="49">
        <v>55</v>
      </c>
      <c r="U138" s="1">
        <v>84</v>
      </c>
    </row>
    <row r="139" spans="17:21" x14ac:dyDescent="0.35">
      <c r="Q139" s="17">
        <v>138</v>
      </c>
      <c r="R139" s="49">
        <v>148</v>
      </c>
      <c r="S139" s="18">
        <v>0.56999999959968395</v>
      </c>
      <c r="T139" s="49">
        <v>50</v>
      </c>
      <c r="U139" s="1">
        <v>84.5</v>
      </c>
    </row>
    <row r="140" spans="17:21" x14ac:dyDescent="0.35">
      <c r="Q140" s="17">
        <v>139</v>
      </c>
      <c r="R140" s="49">
        <v>147</v>
      </c>
      <c r="S140" s="18">
        <v>0.58999999957613602</v>
      </c>
      <c r="T140" s="49">
        <v>45</v>
      </c>
      <c r="U140" s="1">
        <v>85</v>
      </c>
    </row>
    <row r="141" spans="17:21" x14ac:dyDescent="0.35">
      <c r="Q141" s="17">
        <v>140</v>
      </c>
      <c r="R141" s="49">
        <v>146</v>
      </c>
      <c r="S141" s="18">
        <v>0.60999999955258799</v>
      </c>
      <c r="T141" s="49">
        <v>40</v>
      </c>
      <c r="U141" s="1">
        <v>85.5</v>
      </c>
    </row>
    <row r="142" spans="17:21" x14ac:dyDescent="0.35">
      <c r="Q142" s="17">
        <v>141</v>
      </c>
      <c r="R142" s="49">
        <v>145</v>
      </c>
      <c r="S142" s="18">
        <v>0.62999999952903996</v>
      </c>
      <c r="T142" s="49">
        <v>35</v>
      </c>
      <c r="U142" s="1">
        <v>86</v>
      </c>
    </row>
    <row r="143" spans="17:21" x14ac:dyDescent="0.35">
      <c r="Q143" s="17">
        <v>142</v>
      </c>
      <c r="R143" s="49">
        <v>144</v>
      </c>
      <c r="S143" s="18">
        <v>0.64999999950549203</v>
      </c>
      <c r="T143" s="49">
        <v>30</v>
      </c>
      <c r="U143" s="1">
        <v>86.5</v>
      </c>
    </row>
    <row r="144" spans="17:21" x14ac:dyDescent="0.35">
      <c r="Q144" s="17">
        <v>143</v>
      </c>
      <c r="R144" s="49">
        <v>143</v>
      </c>
      <c r="S144" s="18">
        <v>0.669999999481944</v>
      </c>
      <c r="T144" s="49">
        <v>35</v>
      </c>
      <c r="U144" s="1">
        <v>87</v>
      </c>
    </row>
    <row r="145" spans="17:21" x14ac:dyDescent="0.35">
      <c r="Q145" s="17">
        <v>144</v>
      </c>
      <c r="R145" s="49">
        <v>142</v>
      </c>
      <c r="S145" s="18">
        <v>0.68999999945839696</v>
      </c>
      <c r="T145" s="49">
        <v>40</v>
      </c>
      <c r="U145" s="1">
        <v>87.5</v>
      </c>
    </row>
    <row r="146" spans="17:21" x14ac:dyDescent="0.35">
      <c r="Q146" s="17">
        <v>145</v>
      </c>
      <c r="R146" s="49">
        <v>141</v>
      </c>
      <c r="S146" s="18">
        <v>0.70999999943484904</v>
      </c>
      <c r="T146" s="49">
        <v>45</v>
      </c>
      <c r="U146" s="1">
        <v>88</v>
      </c>
    </row>
    <row r="147" spans="17:21" x14ac:dyDescent="0.35">
      <c r="Q147" s="17">
        <v>146</v>
      </c>
      <c r="R147" s="49">
        <v>140</v>
      </c>
      <c r="S147" s="18">
        <v>0.729999999411301</v>
      </c>
      <c r="T147" s="49">
        <v>50</v>
      </c>
      <c r="U147" s="1">
        <v>88.5</v>
      </c>
    </row>
    <row r="148" spans="17:21" x14ac:dyDescent="0.35">
      <c r="Q148" s="17">
        <v>147</v>
      </c>
      <c r="R148" s="49">
        <v>139</v>
      </c>
      <c r="S148" s="18">
        <v>0.74999999938775297</v>
      </c>
      <c r="T148" s="49">
        <v>55</v>
      </c>
      <c r="U148" s="1">
        <v>89</v>
      </c>
    </row>
    <row r="149" spans="17:21" x14ac:dyDescent="0.35">
      <c r="Q149" s="17">
        <v>148</v>
      </c>
      <c r="R149" s="49">
        <v>138</v>
      </c>
      <c r="S149" s="18">
        <v>0.76999999936420505</v>
      </c>
      <c r="T149" s="49">
        <v>50</v>
      </c>
      <c r="U149" s="1">
        <v>89.5</v>
      </c>
    </row>
    <row r="150" spans="17:21" x14ac:dyDescent="0.35">
      <c r="Q150" s="17">
        <v>149</v>
      </c>
      <c r="R150" s="49">
        <v>137</v>
      </c>
      <c r="S150" s="18">
        <v>0.78999999934065701</v>
      </c>
      <c r="T150" s="49">
        <v>45</v>
      </c>
      <c r="U150" s="1">
        <v>90</v>
      </c>
    </row>
    <row r="151" spans="17:21" x14ac:dyDescent="0.35">
      <c r="Q151" s="17">
        <v>150</v>
      </c>
      <c r="R151" s="49">
        <v>136</v>
      </c>
      <c r="S151" s="18">
        <v>0.80999999931710898</v>
      </c>
      <c r="T151" s="49">
        <v>40</v>
      </c>
      <c r="U151" s="1">
        <v>90.5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2023-06-01T19:30:27Z</dcterms:modified>
</cp:coreProperties>
</file>