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Northwind\Costasx\ΔΠΘ\Προπτυχιακά\Μη Συμβατικές Πηγές Ενέργειας\2023\Thema 7 biomass gasification\"/>
    </mc:Choice>
  </mc:AlternateContent>
  <bookViews>
    <workbookView xWindow="10230" yWindow="-20" windowWidth="10280" windowHeight="8180"/>
  </bookViews>
  <sheets>
    <sheet name="sheet1" sheetId="11" r:id="rId1"/>
  </sheets>
  <definedNames>
    <definedName name="solver_adj" localSheetId="0" hidden="1">sheet1!#REF!</definedName>
    <definedName name="solver_cvg" localSheetId="0" hidden="1">0.0001</definedName>
    <definedName name="solver_drv" localSheetId="0" hidden="1">1</definedName>
    <definedName name="solver_est" localSheetId="0" hidden="1">1</definedName>
    <definedName name="solver_itr" localSheetId="0" hidden="1">100</definedName>
    <definedName name="solver_lin" localSheetId="0" hidden="1">2</definedName>
    <definedName name="solver_neg" localSheetId="0" hidden="1">2</definedName>
    <definedName name="solver_num" localSheetId="0" hidden="1">0</definedName>
    <definedName name="solver_nwt" localSheetId="0" hidden="1">1</definedName>
    <definedName name="solver_opt" localSheetId="0" hidden="1">sheet1!#REF!</definedName>
    <definedName name="solver_pre" localSheetId="0" hidden="1">0.000001</definedName>
    <definedName name="solver_scl" localSheetId="0" hidden="1">2</definedName>
    <definedName name="solver_sho" localSheetId="0" hidden="1">2</definedName>
    <definedName name="solver_tim" localSheetId="0" hidden="1">100</definedName>
    <definedName name="solver_tol" localSheetId="0" hidden="1">0.05</definedName>
    <definedName name="solver_typ" localSheetId="0" hidden="1">3</definedName>
    <definedName name="solver_val" localSheetId="0" hidden="1">0</definedName>
  </definedNames>
  <calcPr calcId="162913"/>
</workbook>
</file>

<file path=xl/calcChain.xml><?xml version="1.0" encoding="utf-8"?>
<calcChain xmlns="http://schemas.openxmlformats.org/spreadsheetml/2006/main">
  <c r="K27" i="11" l="1"/>
  <c r="K24" i="11"/>
  <c r="B36" i="11"/>
  <c r="F27" i="11"/>
  <c r="F25" i="11"/>
  <c r="B32" i="11"/>
  <c r="F24" i="11"/>
  <c r="F23" i="11"/>
  <c r="F22" i="11"/>
  <c r="D25" i="11"/>
  <c r="Z95" i="11" l="1"/>
  <c r="Z101" i="11" s="1"/>
  <c r="Z107" i="11" s="1"/>
  <c r="Z113" i="11" s="1"/>
  <c r="Z119" i="11" s="1"/>
  <c r="Z125" i="11" s="1"/>
  <c r="Z94" i="11"/>
  <c r="Z100" i="11" s="1"/>
  <c r="Z106" i="11" s="1"/>
  <c r="Z112" i="11" s="1"/>
  <c r="Z118" i="11" s="1"/>
  <c r="Z124" i="11" s="1"/>
  <c r="Z93" i="11"/>
  <c r="Z99" i="11" s="1"/>
  <c r="Z105" i="11" s="1"/>
  <c r="Z111" i="11" s="1"/>
  <c r="Z117" i="11" s="1"/>
  <c r="Z123" i="11" s="1"/>
  <c r="Z92" i="11"/>
  <c r="Z98" i="11" s="1"/>
  <c r="Z104" i="11" s="1"/>
  <c r="Z110" i="11" s="1"/>
  <c r="Z116" i="11" s="1"/>
  <c r="Z122" i="11" s="1"/>
  <c r="Z128" i="11" s="1"/>
  <c r="Z91" i="11"/>
  <c r="Z97" i="11" s="1"/>
  <c r="Z103" i="11" s="1"/>
  <c r="Z109" i="11" s="1"/>
  <c r="Z115" i="11" s="1"/>
  <c r="Z121" i="11" s="1"/>
  <c r="Z127" i="11" s="1"/>
  <c r="Z90" i="11"/>
  <c r="Z96" i="11" s="1"/>
  <c r="Z102" i="11" s="1"/>
  <c r="Z108" i="11" s="1"/>
  <c r="Z114" i="11" s="1"/>
  <c r="Z120" i="11" s="1"/>
  <c r="Z126" i="11" s="1"/>
  <c r="Z62" i="11" l="1"/>
  <c r="Z68" i="11" s="1"/>
  <c r="Z74" i="11" s="1"/>
  <c r="Z80" i="11" s="1"/>
  <c r="Z61" i="11"/>
  <c r="Z67" i="11" s="1"/>
  <c r="Z73" i="11" s="1"/>
  <c r="Z79" i="11" s="1"/>
  <c r="Z60" i="11"/>
  <c r="Z66" i="11" s="1"/>
  <c r="Z72" i="11" s="1"/>
  <c r="Z78" i="11" s="1"/>
  <c r="Z59" i="11"/>
  <c r="Z65" i="11" s="1"/>
  <c r="Z71" i="11" s="1"/>
  <c r="Z77" i="11" s="1"/>
  <c r="Z83" i="11" s="1"/>
  <c r="Z58" i="11"/>
  <c r="Z64" i="11" s="1"/>
  <c r="Z70" i="11" s="1"/>
  <c r="Z76" i="11" s="1"/>
  <c r="Z82" i="11" s="1"/>
  <c r="Z57" i="11"/>
  <c r="Z63" i="11" s="1"/>
  <c r="Z69" i="11" s="1"/>
  <c r="Z75" i="11" s="1"/>
  <c r="Z81" i="11" s="1"/>
  <c r="Z50" i="11"/>
  <c r="Z49" i="11"/>
  <c r="Z47" i="11"/>
  <c r="Z48" i="11" s="1"/>
  <c r="Z46" i="11"/>
  <c r="Z45" i="11"/>
  <c r="Z44" i="11"/>
  <c r="Z9" i="11"/>
  <c r="Z15" i="11" s="1"/>
  <c r="Z21" i="11" s="1"/>
  <c r="Z27" i="11" s="1"/>
  <c r="Z33" i="11" s="1"/>
  <c r="Z10" i="11"/>
  <c r="Z16" i="11" s="1"/>
  <c r="Z22" i="11" s="1"/>
  <c r="Z28" i="11" s="1"/>
  <c r="Z34" i="11" s="1"/>
  <c r="Z11" i="11"/>
  <c r="Z17" i="11" s="1"/>
  <c r="Z23" i="11" s="1"/>
  <c r="Z29" i="11" s="1"/>
  <c r="Z35" i="11" s="1"/>
  <c r="Z12" i="11"/>
  <c r="Z18" i="11" s="1"/>
  <c r="Z24" i="11" s="1"/>
  <c r="Z30" i="11" s="1"/>
  <c r="Z36" i="11" s="1"/>
  <c r="Z13" i="11"/>
  <c r="Z19" i="11" s="1"/>
  <c r="Z25" i="11" s="1"/>
  <c r="Z31" i="11" s="1"/>
  <c r="Z37" i="11" s="1"/>
  <c r="Z8" i="11"/>
  <c r="Z14" i="11" s="1"/>
  <c r="Z20" i="11" s="1"/>
  <c r="Z26" i="11" s="1"/>
  <c r="Z32" i="11" s="1"/>
  <c r="F30" i="11" l="1"/>
  <c r="O35" i="11" l="1"/>
  <c r="K19" i="11"/>
  <c r="K18" i="11"/>
  <c r="K17" i="11"/>
  <c r="K16" i="11"/>
  <c r="K15" i="11"/>
  <c r="K14" i="11"/>
  <c r="K13" i="11"/>
  <c r="P24" i="11" l="1"/>
  <c r="P26" i="11"/>
  <c r="P25" i="11"/>
  <c r="K37" i="11" s="1"/>
  <c r="B29" i="11" l="1"/>
  <c r="B30" i="11" l="1"/>
  <c r="B33" i="11" s="1"/>
  <c r="O24" i="11"/>
  <c r="B25" i="11"/>
  <c r="B31" i="11" s="1"/>
  <c r="B34" i="11" s="1"/>
  <c r="Q24" i="11" l="1"/>
  <c r="F26" i="11"/>
  <c r="B35" i="11" l="1"/>
  <c r="K25" i="11" l="1"/>
  <c r="K36" i="11" s="1"/>
  <c r="O26" i="11" l="1"/>
  <c r="O25" i="11"/>
  <c r="Q25" i="11" l="1"/>
  <c r="K30" i="11" s="1"/>
  <c r="Q26" i="11"/>
  <c r="K32" i="11" l="1"/>
  <c r="K33" i="11" s="1"/>
  <c r="K31" i="11" l="1"/>
  <c r="O33" i="11"/>
  <c r="K35" i="11" l="1"/>
  <c r="O31" i="11"/>
  <c r="O32" i="11"/>
  <c r="O37" i="11"/>
  <c r="O36" i="11"/>
  <c r="O38" i="11" l="1"/>
  <c r="O39" i="11"/>
  <c r="K38" i="11"/>
</calcChain>
</file>

<file path=xl/sharedStrings.xml><?xml version="1.0" encoding="utf-8"?>
<sst xmlns="http://schemas.openxmlformats.org/spreadsheetml/2006/main" count="156" uniqueCount="113">
  <si>
    <t>%</t>
  </si>
  <si>
    <t>€/MWh</t>
  </si>
  <si>
    <t>Β</t>
  </si>
  <si>
    <t>Γ</t>
  </si>
  <si>
    <t>Δ</t>
  </si>
  <si>
    <t>Η</t>
  </si>
  <si>
    <t>οC</t>
  </si>
  <si>
    <t>H</t>
  </si>
  <si>
    <t>C</t>
  </si>
  <si>
    <t>O</t>
  </si>
  <si>
    <t>mol/kg</t>
  </si>
  <si>
    <t>ΑΘΔ βιομάζας</t>
  </si>
  <si>
    <t>Υγρασία</t>
  </si>
  <si>
    <t>mol/kg βιομάζας</t>
  </si>
  <si>
    <t>kJ/kg βιομάζας</t>
  </si>
  <si>
    <t>kJ/kg ξ. βιομάζας</t>
  </si>
  <si>
    <t>Παραγόμενη υγρασία</t>
  </si>
  <si>
    <t>Ολική υγρασία</t>
  </si>
  <si>
    <t>ΚΘΔ βιομάζας</t>
  </si>
  <si>
    <t>Οξυγόνο για πλ. Καύση</t>
  </si>
  <si>
    <t>CO2</t>
  </si>
  <si>
    <t>ΑΘΔ ξετ βιομάζας</t>
  </si>
  <si>
    <t>ξετ βιομάζα</t>
  </si>
  <si>
    <t>Παραγωγή βιομάζας</t>
  </si>
  <si>
    <t>€/tn</t>
  </si>
  <si>
    <t>Κόστος βιομάζας</t>
  </si>
  <si>
    <t>Α</t>
  </si>
  <si>
    <t>Ο</t>
  </si>
  <si>
    <t>Τέφρα</t>
  </si>
  <si>
    <t>Βιομάζα</t>
  </si>
  <si>
    <t xml:space="preserve">gr/kg </t>
  </si>
  <si>
    <t xml:space="preserve">% </t>
  </si>
  <si>
    <t>ΟΜΑΔΑ</t>
  </si>
  <si>
    <t>ΘΕΜΑ</t>
  </si>
  <si>
    <t>ΝΑ ΣΥΜΠΛΗΡΩΘΟΥΝ ΤΑ ΛΕΥΚΑ ΚΑΙ ΚΟΚΚΙΝΑ ΚΕΛΛΙΑ, ΜΕΣΑ ΣΤΟ ΠΛΑΙΣΙΟ ΚΑΙ ΜΟΝΟ ΑΥΤΆ</t>
  </si>
  <si>
    <t>ΝΑ ΜΗΝ ΜΕΤΑΚΙΝΗΘΕΙ ΚΑΝΕΝΑ ΚΕΛΙ ΣΕ ΟΛΟ ΤΟ ΑΡΧΕΙΟ</t>
  </si>
  <si>
    <t>ΦΟΙΤΗΤΗΣ 1</t>
  </si>
  <si>
    <t>ΦΟΙΤΗΤΗΣ 2</t>
  </si>
  <si>
    <t>Όνομα</t>
  </si>
  <si>
    <t>Επώνυμο</t>
  </si>
  <si>
    <t>Αρ. Μητρώου (5 ψηφεία)</t>
  </si>
  <si>
    <t>ΔΕΔΟΜΕΝΑ</t>
  </si>
  <si>
    <t>tn βιομάζας/έτος</t>
  </si>
  <si>
    <t>Θερμ. σχημ. ξετ βιομάζας</t>
  </si>
  <si>
    <t>kJ/kg ξετ βιομ.</t>
  </si>
  <si>
    <t>mol O2/kg βιομ.</t>
  </si>
  <si>
    <t>kJ/kg βιομ.</t>
  </si>
  <si>
    <t xml:space="preserve">Τιμή διάθεσης </t>
  </si>
  <si>
    <t xml:space="preserve"> ηλεκτρικής MWh</t>
  </si>
  <si>
    <t>kg/kg βιομ.</t>
  </si>
  <si>
    <t>* Το κελί Β42 υπολογίζεται με SOLVER, έτσι ώστε το κελί Β46 να γίνει 0.</t>
  </si>
  <si>
    <t>** Αν η σύσταση των απαερίων είναι σωστή, τα κελιά θα πρέπει να πάρουν αυτόματα την τιμή μηδέν.</t>
  </si>
  <si>
    <t>έλεγχος στοιχειακών ισοζυγίων μάζας**</t>
  </si>
  <si>
    <t>δεδομένα από  τα ΘΕΜΑΤΑ 6 και 7</t>
  </si>
  <si>
    <t>Αεριοιποιητής</t>
  </si>
  <si>
    <t>Παραγόμενο Αέριο</t>
  </si>
  <si>
    <t>Η2</t>
  </si>
  <si>
    <t>CO</t>
  </si>
  <si>
    <t>CH4</t>
  </si>
  <si>
    <t>Οξυγόνο Αεριοποίησης</t>
  </si>
  <si>
    <t>(% του Ο2 καύσης)</t>
  </si>
  <si>
    <t>Η2Ο Αεριοποίησης</t>
  </si>
  <si>
    <t>mol/mol O2</t>
  </si>
  <si>
    <t>Υπόλειμμα (οργανικό μέρος)</t>
  </si>
  <si>
    <t>CH4 στο αέριο αεριοπ.</t>
  </si>
  <si>
    <t>είσοδος</t>
  </si>
  <si>
    <t>υπόλειμμα</t>
  </si>
  <si>
    <t>αέριο</t>
  </si>
  <si>
    <t>μέσο αεριοποίησης</t>
  </si>
  <si>
    <t>Ο2</t>
  </si>
  <si>
    <t>Η2Ο</t>
  </si>
  <si>
    <t>C, mol/kg βιομ.</t>
  </si>
  <si>
    <t>Η, mol/kg βιομ.</t>
  </si>
  <si>
    <t>Ο, mol/kg βιομ.</t>
  </si>
  <si>
    <t>mol/kg βιομ.</t>
  </si>
  <si>
    <t>mol/kg βιόμ.</t>
  </si>
  <si>
    <t>Έκταση Αεριοποίησης</t>
  </si>
  <si>
    <t>Οργανικό Υπόλειμμα</t>
  </si>
  <si>
    <t>Θερμότητα Αντίδρασης</t>
  </si>
  <si>
    <t>ΔΗCO2</t>
  </si>
  <si>
    <t>ΔΗCO</t>
  </si>
  <si>
    <t>ΔΗH2Og</t>
  </si>
  <si>
    <t>ΔΗCH4</t>
  </si>
  <si>
    <t>kJ/mol</t>
  </si>
  <si>
    <t>Θερμότητα εξάτμισης νερού</t>
  </si>
  <si>
    <t>ΚΘΔ υπολείμματος</t>
  </si>
  <si>
    <t>Θερμοκρασία αερίου</t>
  </si>
  <si>
    <t>Ισοζύγιο ενέργειας</t>
  </si>
  <si>
    <t>α</t>
  </si>
  <si>
    <t>β</t>
  </si>
  <si>
    <t>cpCO2</t>
  </si>
  <si>
    <t>cpH2</t>
  </si>
  <si>
    <t>cpCO</t>
  </si>
  <si>
    <t>cpCH4</t>
  </si>
  <si>
    <t>cpH2O</t>
  </si>
  <si>
    <t>cpO2</t>
  </si>
  <si>
    <t>cpN2</t>
  </si>
  <si>
    <t>kJ/molK</t>
  </si>
  <si>
    <t>K</t>
  </si>
  <si>
    <t xml:space="preserve">*** Το απόλυτο μηδέν θεωρειται -273 oC, η ατμοσφαιρική πίεση 100 kPa και θερμοκρασία αναφοράς οι 25 οC (298 K) </t>
  </si>
  <si>
    <t>kJ/kg βιομ.****</t>
  </si>
  <si>
    <t>**** Το ισοζύγιο ενέργειας μηδενίζεται με SOLVER, αλλάζοντας τη θερμοκρασία αερίου σε K</t>
  </si>
  <si>
    <t>ΚΘΔ αερίου</t>
  </si>
  <si>
    <t>Όγκος αερίου</t>
  </si>
  <si>
    <t>kJ/m3</t>
  </si>
  <si>
    <t>m3/kg βιομ.</t>
  </si>
  <si>
    <t>Αισθητή θερμ. αερίου</t>
  </si>
  <si>
    <t>Ατμοσφαιρική πίεση</t>
  </si>
  <si>
    <t>kPa</t>
  </si>
  <si>
    <t>***** Μηδενίζεται με SOLVER, αλλάζοντας την τιμή της τροφοδοσίας Ο2 καύσης στον καυστήρα του αεριοστροβίλου</t>
  </si>
  <si>
    <t>Τροφοδοσία βιομάζας</t>
  </si>
  <si>
    <t>kg βιομάζας / sec</t>
  </si>
  <si>
    <t>θερμοδυναμικά δεδομένα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</si>
</sst>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€_-;\-* #,##0.00\ _€_-;_-* &quot;-&quot;??\ _€_-;_-@_-"/>
    <numFmt numFmtId="164" formatCode="0.0"/>
    <numFmt numFmtId="165" formatCode="0.00000"/>
    <numFmt numFmtId="166" formatCode="0.000"/>
  </numFmts>
  <fonts count="4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1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69">
    <xf numFmtId="0" fontId="0" fillId="0" borderId="0" xfId="0"/>
    <xf numFmtId="164" fontId="0" fillId="0" borderId="0" xfId="0" applyNumberFormat="1"/>
    <xf numFmtId="0" fontId="0" fillId="0" borderId="0" xfId="0" applyFill="1" applyAlignment="1">
      <alignment horizontal="right"/>
    </xf>
    <xf numFmtId="0" fontId="1" fillId="3" borderId="0" xfId="0" applyFont="1" applyFill="1" applyBorder="1" applyProtection="1"/>
    <xf numFmtId="0" fontId="1" fillId="3" borderId="0" xfId="0" applyFont="1" applyFill="1" applyBorder="1" applyAlignment="1" applyProtection="1">
      <alignment horizontal="left"/>
    </xf>
    <xf numFmtId="0" fontId="0" fillId="3" borderId="0" xfId="0" applyFill="1" applyBorder="1" applyProtection="1"/>
    <xf numFmtId="0" fontId="1" fillId="3" borderId="0" xfId="0" applyFont="1" applyFill="1" applyBorder="1" applyProtection="1">
      <protection locked="0"/>
    </xf>
    <xf numFmtId="0" fontId="0" fillId="0" borderId="0" xfId="0" applyBorder="1" applyProtection="1">
      <protection locked="0"/>
    </xf>
    <xf numFmtId="0" fontId="1" fillId="2" borderId="0" xfId="0" applyFont="1" applyFill="1" applyBorder="1" applyProtection="1"/>
    <xf numFmtId="164" fontId="1" fillId="3" borderId="0" xfId="0" applyNumberFormat="1" applyFont="1" applyFill="1" applyBorder="1" applyProtection="1">
      <protection locked="0"/>
    </xf>
    <xf numFmtId="165" fontId="1" fillId="3" borderId="0" xfId="0" applyNumberFormat="1" applyFont="1" applyFill="1" applyBorder="1" applyProtection="1"/>
    <xf numFmtId="2" fontId="1" fillId="3" borderId="0" xfId="0" applyNumberFormat="1" applyFont="1" applyFill="1" applyBorder="1" applyProtection="1"/>
    <xf numFmtId="0" fontId="1" fillId="3" borderId="0" xfId="0" applyFont="1" applyFill="1" applyBorder="1" applyAlignment="1" applyProtection="1">
      <alignment horizontal="right"/>
    </xf>
    <xf numFmtId="2" fontId="1" fillId="2" borderId="0" xfId="0" applyNumberFormat="1" applyFont="1" applyFill="1" applyBorder="1"/>
    <xf numFmtId="2" fontId="1" fillId="2" borderId="0" xfId="0" applyNumberFormat="1" applyFont="1" applyFill="1" applyBorder="1" applyAlignment="1">
      <alignment horizontal="right"/>
    </xf>
    <xf numFmtId="0" fontId="1" fillId="2" borderId="0" xfId="0" applyFont="1" applyFill="1" applyBorder="1"/>
    <xf numFmtId="0" fontId="0" fillId="0" borderId="0" xfId="0" applyFill="1"/>
    <xf numFmtId="2" fontId="0" fillId="0" borderId="0" xfId="0" applyNumberFormat="1" applyFill="1"/>
    <xf numFmtId="164" fontId="0" fillId="0" borderId="0" xfId="0" applyNumberFormat="1" applyFill="1"/>
    <xf numFmtId="0" fontId="1" fillId="3" borderId="1" xfId="0" applyFont="1" applyFill="1" applyBorder="1" applyProtection="1">
      <protection locked="0"/>
    </xf>
    <xf numFmtId="0" fontId="1" fillId="2" borderId="2" xfId="0" applyFont="1" applyFill="1" applyBorder="1"/>
    <xf numFmtId="0" fontId="1" fillId="3" borderId="3" xfId="0" applyFont="1" applyFill="1" applyBorder="1" applyProtection="1">
      <protection locked="0"/>
    </xf>
    <xf numFmtId="0" fontId="1" fillId="3" borderId="5" xfId="0" applyFont="1" applyFill="1" applyBorder="1" applyProtection="1">
      <protection locked="0"/>
    </xf>
    <xf numFmtId="0" fontId="1" fillId="3" borderId="1" xfId="0" applyFont="1" applyFill="1" applyBorder="1" applyProtection="1"/>
    <xf numFmtId="0" fontId="1" fillId="3" borderId="2" xfId="0" applyFont="1" applyFill="1" applyBorder="1" applyProtection="1"/>
    <xf numFmtId="0" fontId="1" fillId="3" borderId="2" xfId="0" applyFont="1" applyFill="1" applyBorder="1" applyProtection="1">
      <protection locked="0"/>
    </xf>
    <xf numFmtId="0" fontId="1" fillId="3" borderId="2" xfId="0" applyFont="1" applyFill="1" applyBorder="1" applyAlignment="1" applyProtection="1">
      <alignment horizontal="right"/>
      <protection locked="0"/>
    </xf>
    <xf numFmtId="0" fontId="1" fillId="3" borderId="4" xfId="0" applyFont="1" applyFill="1" applyBorder="1" applyProtection="1"/>
    <xf numFmtId="0" fontId="1" fillId="3" borderId="5" xfId="0" applyFont="1" applyFill="1" applyBorder="1" applyProtection="1"/>
    <xf numFmtId="0" fontId="1" fillId="3" borderId="6" xfId="0" applyFont="1" applyFill="1" applyBorder="1" applyProtection="1"/>
    <xf numFmtId="2" fontId="1" fillId="3" borderId="7" xfId="0" applyNumberFormat="1" applyFont="1" applyFill="1" applyBorder="1" applyProtection="1"/>
    <xf numFmtId="0" fontId="1" fillId="3" borderId="7" xfId="0" applyFont="1" applyFill="1" applyBorder="1" applyProtection="1"/>
    <xf numFmtId="0" fontId="1" fillId="3" borderId="8" xfId="0" applyFont="1" applyFill="1" applyBorder="1" applyProtection="1"/>
    <xf numFmtId="0" fontId="1" fillId="3" borderId="1" xfId="0" applyFont="1" applyFill="1" applyBorder="1" applyAlignment="1" applyProtection="1">
      <alignment horizontal="right"/>
      <protection locked="0"/>
    </xf>
    <xf numFmtId="0" fontId="1" fillId="3" borderId="4" xfId="0" applyFont="1" applyFill="1" applyBorder="1" applyAlignment="1" applyProtection="1">
      <alignment horizontal="right"/>
      <protection locked="0"/>
    </xf>
    <xf numFmtId="0" fontId="1" fillId="3" borderId="3" xfId="0" applyFont="1" applyFill="1" applyBorder="1" applyProtection="1"/>
    <xf numFmtId="0" fontId="0" fillId="4" borderId="0" xfId="0" applyFill="1"/>
    <xf numFmtId="1" fontId="0" fillId="0" borderId="0" xfId="0" applyNumberFormat="1" applyFill="1"/>
    <xf numFmtId="2" fontId="1" fillId="0" borderId="0" xfId="0" applyNumberFormat="1" applyFont="1" applyFill="1" applyBorder="1" applyProtection="1"/>
    <xf numFmtId="2" fontId="1" fillId="0" borderId="7" xfId="0" applyNumberFormat="1" applyFont="1" applyFill="1" applyBorder="1" applyProtection="1"/>
    <xf numFmtId="0" fontId="1" fillId="3" borderId="0" xfId="0" applyFont="1" applyFill="1" applyBorder="1" applyAlignment="1" applyProtection="1">
      <alignment horizontal="right"/>
      <protection locked="0"/>
    </xf>
    <xf numFmtId="0" fontId="1" fillId="0" borderId="0" xfId="0" applyFont="1" applyFill="1" applyBorder="1" applyProtection="1"/>
    <xf numFmtId="165" fontId="1" fillId="0" borderId="0" xfId="0" applyNumberFormat="1" applyFont="1" applyFill="1" applyBorder="1" applyProtection="1"/>
    <xf numFmtId="166" fontId="1" fillId="3" borderId="0" xfId="0" applyNumberFormat="1" applyFont="1" applyFill="1" applyBorder="1" applyProtection="1">
      <protection locked="0"/>
    </xf>
    <xf numFmtId="0" fontId="0" fillId="0" borderId="0" xfId="0" applyBorder="1"/>
    <xf numFmtId="2" fontId="1" fillId="0" borderId="0" xfId="0" applyNumberFormat="1" applyFont="1" applyBorder="1"/>
    <xf numFmtId="2" fontId="1" fillId="3" borderId="2" xfId="1" applyNumberFormat="1" applyFont="1" applyFill="1" applyBorder="1" applyProtection="1">
      <protection locked="0"/>
    </xf>
    <xf numFmtId="2" fontId="1" fillId="3" borderId="0" xfId="1" applyNumberFormat="1" applyFont="1" applyFill="1" applyBorder="1" applyProtection="1">
      <protection locked="0"/>
    </xf>
    <xf numFmtId="2" fontId="1" fillId="2" borderId="0" xfId="1" applyNumberFormat="1" applyFont="1" applyFill="1" applyBorder="1"/>
    <xf numFmtId="0" fontId="1" fillId="3" borderId="4" xfId="0" applyFont="1" applyFill="1" applyBorder="1" applyProtection="1">
      <protection locked="0"/>
    </xf>
    <xf numFmtId="0" fontId="1" fillId="3" borderId="6" xfId="0" applyFont="1" applyFill="1" applyBorder="1" applyProtection="1">
      <protection locked="0"/>
    </xf>
    <xf numFmtId="0" fontId="1" fillId="3" borderId="7" xfId="0" applyFont="1" applyFill="1" applyBorder="1" applyProtection="1">
      <protection locked="0"/>
    </xf>
    <xf numFmtId="0" fontId="1" fillId="3" borderId="8" xfId="0" applyFont="1" applyFill="1" applyBorder="1" applyProtection="1">
      <protection locked="0"/>
    </xf>
    <xf numFmtId="0" fontId="1" fillId="3" borderId="6" xfId="0" applyFont="1" applyFill="1" applyBorder="1" applyAlignment="1" applyProtection="1">
      <alignment horizontal="right"/>
      <protection locked="0"/>
    </xf>
    <xf numFmtId="11" fontId="1" fillId="3" borderId="5" xfId="0" applyNumberFormat="1" applyFont="1" applyFill="1" applyBorder="1" applyAlignment="1" applyProtection="1">
      <alignment horizontal="right"/>
      <protection locked="0"/>
    </xf>
    <xf numFmtId="0" fontId="1" fillId="3" borderId="7" xfId="0" applyFont="1" applyFill="1" applyBorder="1" applyAlignment="1" applyProtection="1">
      <alignment horizontal="right"/>
      <protection locked="0"/>
    </xf>
    <xf numFmtId="11" fontId="1" fillId="3" borderId="8" xfId="0" applyNumberFormat="1" applyFont="1" applyFill="1" applyBorder="1" applyAlignment="1" applyProtection="1">
      <alignment horizontal="right"/>
      <protection locked="0"/>
    </xf>
    <xf numFmtId="2" fontId="1" fillId="3" borderId="2" xfId="0" applyNumberFormat="1" applyFont="1" applyFill="1" applyBorder="1" applyProtection="1"/>
    <xf numFmtId="166" fontId="1" fillId="0" borderId="5" xfId="0" applyNumberFormat="1" applyFont="1" applyFill="1" applyBorder="1" applyProtection="1"/>
    <xf numFmtId="2" fontId="1" fillId="0" borderId="0" xfId="0" applyNumberFormat="1" applyFont="1" applyFill="1" applyBorder="1"/>
    <xf numFmtId="2" fontId="1" fillId="2" borderId="7" xfId="0" applyNumberFormat="1" applyFont="1" applyFill="1" applyBorder="1" applyProtection="1"/>
    <xf numFmtId="0" fontId="0" fillId="4" borderId="0" xfId="0" applyFill="1" applyBorder="1"/>
    <xf numFmtId="0" fontId="0" fillId="4" borderId="0" xfId="0" applyFill="1" applyAlignment="1">
      <alignment horizontal="right"/>
    </xf>
    <xf numFmtId="2" fontId="0" fillId="4" borderId="0" xfId="0" applyNumberFormat="1" applyFill="1"/>
    <xf numFmtId="0" fontId="1" fillId="3" borderId="5" xfId="0" applyFont="1" applyFill="1" applyBorder="1" applyAlignment="1" applyProtection="1">
      <alignment horizontal="right"/>
      <protection locked="0"/>
    </xf>
    <xf numFmtId="2" fontId="1" fillId="0" borderId="0" xfId="0" applyNumberFormat="1" applyFont="1" applyFill="1" applyBorder="1" applyProtection="1">
      <protection locked="0"/>
    </xf>
    <xf numFmtId="2" fontId="1" fillId="0" borderId="0" xfId="1" applyNumberFormat="1" applyFont="1" applyFill="1" applyBorder="1" applyProtection="1">
      <protection locked="0"/>
    </xf>
    <xf numFmtId="0" fontId="1" fillId="2" borderId="0" xfId="0" applyFont="1" applyFill="1" applyBorder="1" applyProtection="1">
      <protection locked="0"/>
    </xf>
    <xf numFmtId="2" fontId="3" fillId="0" borderId="0" xfId="0" applyNumberFormat="1" applyFont="1" applyBorder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31"/>
  <sheetViews>
    <sheetView tabSelected="1" topLeftCell="I19" zoomScale="110" zoomScaleNormal="110" workbookViewId="0">
      <selection activeCell="K27" sqref="K27"/>
    </sheetView>
  </sheetViews>
  <sheetFormatPr defaultRowHeight="14.5" x14ac:dyDescent="0.35"/>
  <cols>
    <col min="1" max="1" width="44.54296875" customWidth="1"/>
    <col min="2" max="2" width="14.7265625" customWidth="1"/>
    <col min="3" max="3" width="11.81640625" customWidth="1"/>
    <col min="4" max="4" width="13" customWidth="1"/>
    <col min="5" max="5" width="20.453125" customWidth="1"/>
    <col min="6" max="6" width="18.453125" customWidth="1"/>
    <col min="7" max="7" width="11.1796875" customWidth="1"/>
    <col min="8" max="8" width="12.453125" customWidth="1"/>
    <col min="10" max="10" width="25.7265625" customWidth="1"/>
    <col min="11" max="11" width="10.81640625" customWidth="1"/>
    <col min="12" max="12" width="12.26953125" customWidth="1"/>
    <col min="13" max="13" width="9.1796875" customWidth="1"/>
    <col min="14" max="14" width="22.54296875" customWidth="1"/>
    <col min="15" max="15" width="10.453125" customWidth="1"/>
    <col min="16" max="16" width="16.453125" style="16" customWidth="1"/>
    <col min="17" max="17" width="11" style="16" customWidth="1"/>
    <col min="18" max="18" width="8.7265625" style="2" customWidth="1"/>
    <col min="19" max="19" width="3.26953125" style="16" customWidth="1"/>
    <col min="20" max="20" width="10.7265625" style="16" bestFit="1" customWidth="1"/>
  </cols>
  <sheetData>
    <row r="1" spans="1:28" x14ac:dyDescent="0.35">
      <c r="A1" s="3" t="s">
        <v>33</v>
      </c>
      <c r="B1" s="4">
        <v>6</v>
      </c>
      <c r="C1" s="3"/>
      <c r="D1" s="5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36"/>
      <c r="X1" s="16" t="s">
        <v>32</v>
      </c>
      <c r="Y1" s="16" t="s">
        <v>26</v>
      </c>
      <c r="Z1" s="16" t="s">
        <v>2</v>
      </c>
      <c r="AA1" s="16" t="s">
        <v>3</v>
      </c>
      <c r="AB1" t="s">
        <v>4</v>
      </c>
    </row>
    <row r="2" spans="1:28" x14ac:dyDescent="0.35">
      <c r="A2" s="3" t="s">
        <v>32</v>
      </c>
      <c r="B2" s="7"/>
      <c r="C2" s="5"/>
      <c r="D2" s="5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3"/>
      <c r="T2" s="37"/>
      <c r="U2" s="1"/>
      <c r="W2" s="1"/>
      <c r="X2">
        <v>1</v>
      </c>
      <c r="Y2">
        <v>25</v>
      </c>
      <c r="Z2" s="1">
        <v>1.5</v>
      </c>
      <c r="AA2">
        <v>90</v>
      </c>
      <c r="AB2">
        <v>3</v>
      </c>
    </row>
    <row r="3" spans="1:28" x14ac:dyDescent="0.35">
      <c r="A3" s="3"/>
      <c r="B3" s="3" t="s">
        <v>36</v>
      </c>
      <c r="C3" s="3" t="s">
        <v>37</v>
      </c>
      <c r="D3" s="5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3"/>
      <c r="T3" s="37"/>
      <c r="U3" s="1"/>
      <c r="V3" s="1"/>
      <c r="X3">
        <v>2</v>
      </c>
      <c r="Y3">
        <v>24</v>
      </c>
      <c r="Z3" s="1">
        <v>1.5</v>
      </c>
      <c r="AA3">
        <v>90</v>
      </c>
      <c r="AB3">
        <v>2</v>
      </c>
    </row>
    <row r="4" spans="1:28" x14ac:dyDescent="0.35">
      <c r="A4" s="3" t="s">
        <v>38</v>
      </c>
      <c r="B4" s="7"/>
      <c r="C4" s="7"/>
      <c r="D4" s="5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3"/>
      <c r="T4" s="37"/>
      <c r="U4" s="1"/>
      <c r="W4" s="1"/>
      <c r="X4">
        <v>3</v>
      </c>
      <c r="Y4">
        <v>23</v>
      </c>
      <c r="Z4" s="1">
        <v>1.5</v>
      </c>
      <c r="AA4">
        <v>90</v>
      </c>
      <c r="AB4">
        <v>3</v>
      </c>
    </row>
    <row r="5" spans="1:28" x14ac:dyDescent="0.35">
      <c r="A5" s="3" t="s">
        <v>39</v>
      </c>
      <c r="B5" s="7"/>
      <c r="C5" s="7"/>
      <c r="D5" s="5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3"/>
      <c r="T5" s="37"/>
      <c r="U5" s="1"/>
      <c r="V5" s="1"/>
      <c r="X5">
        <v>4</v>
      </c>
      <c r="Y5">
        <v>22</v>
      </c>
      <c r="Z5" s="1">
        <v>1.5</v>
      </c>
      <c r="AA5">
        <v>90</v>
      </c>
      <c r="AB5">
        <v>2</v>
      </c>
    </row>
    <row r="6" spans="1:28" x14ac:dyDescent="0.35">
      <c r="A6" s="3" t="s">
        <v>40</v>
      </c>
      <c r="B6" s="7"/>
      <c r="C6" s="7"/>
      <c r="D6" s="5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3"/>
      <c r="T6" s="37"/>
      <c r="U6" s="1"/>
      <c r="W6" s="1"/>
      <c r="X6">
        <v>5</v>
      </c>
      <c r="Y6">
        <v>21</v>
      </c>
      <c r="Z6" s="1">
        <v>1.5</v>
      </c>
      <c r="AA6">
        <v>90</v>
      </c>
      <c r="AB6">
        <v>3</v>
      </c>
    </row>
    <row r="7" spans="1:28" ht="15" thickBot="1" x14ac:dyDescent="0.4">
      <c r="A7" s="3"/>
      <c r="B7" s="5"/>
      <c r="C7" s="5"/>
      <c r="D7" s="5"/>
      <c r="E7" s="6"/>
      <c r="F7" s="6"/>
      <c r="G7" s="6"/>
      <c r="H7" s="6"/>
      <c r="I7" s="6" t="s">
        <v>112</v>
      </c>
      <c r="J7" s="6"/>
      <c r="K7" s="6"/>
      <c r="L7" s="6"/>
      <c r="M7" s="6"/>
      <c r="N7" s="6"/>
      <c r="O7" s="6"/>
      <c r="P7" s="6"/>
      <c r="Q7" s="6"/>
      <c r="R7" s="6"/>
      <c r="S7" s="63"/>
      <c r="T7" s="37"/>
      <c r="U7" s="1"/>
      <c r="V7" s="1"/>
      <c r="X7">
        <v>6</v>
      </c>
      <c r="Y7">
        <v>20</v>
      </c>
      <c r="Z7" s="1">
        <v>1.5</v>
      </c>
      <c r="AA7">
        <v>90</v>
      </c>
      <c r="AB7">
        <v>2</v>
      </c>
    </row>
    <row r="8" spans="1:28" ht="15" thickBot="1" x14ac:dyDescent="0.4">
      <c r="A8" s="3" t="s">
        <v>41</v>
      </c>
      <c r="B8" s="5"/>
      <c r="C8" s="5"/>
      <c r="D8" s="5"/>
      <c r="E8" s="6"/>
      <c r="F8" s="6"/>
      <c r="G8" s="6"/>
      <c r="H8" s="6"/>
      <c r="I8" s="33" t="s">
        <v>79</v>
      </c>
      <c r="J8" s="25">
        <v>393.5</v>
      </c>
      <c r="K8" s="21" t="s">
        <v>83</v>
      </c>
      <c r="L8" s="6"/>
      <c r="M8" s="6"/>
      <c r="N8" s="6"/>
      <c r="O8" s="6"/>
      <c r="P8" s="6"/>
      <c r="Q8" s="6"/>
      <c r="R8" s="6"/>
      <c r="S8" s="63"/>
      <c r="T8" s="37"/>
      <c r="U8" s="1"/>
      <c r="V8" s="1"/>
      <c r="X8">
        <v>7</v>
      </c>
      <c r="Y8">
        <v>25</v>
      </c>
      <c r="Z8" s="1">
        <f>Z2-0.1</f>
        <v>1.4</v>
      </c>
      <c r="AA8">
        <v>90</v>
      </c>
      <c r="AB8">
        <v>3</v>
      </c>
    </row>
    <row r="9" spans="1:28" x14ac:dyDescent="0.35">
      <c r="A9" s="19" t="s">
        <v>59</v>
      </c>
      <c r="B9" s="20">
        <v>25</v>
      </c>
      <c r="C9" s="25" t="s">
        <v>31</v>
      </c>
      <c r="D9" s="25"/>
      <c r="E9" s="24"/>
      <c r="F9" s="25"/>
      <c r="G9" s="21"/>
      <c r="H9" s="6"/>
      <c r="I9" s="34" t="s">
        <v>80</v>
      </c>
      <c r="J9" s="6">
        <v>110.5</v>
      </c>
      <c r="K9" s="22" t="s">
        <v>83</v>
      </c>
      <c r="L9" s="6"/>
      <c r="M9" s="6"/>
      <c r="N9" s="6"/>
      <c r="O9" s="6"/>
      <c r="P9" s="6"/>
      <c r="Q9" s="6"/>
      <c r="R9" s="6"/>
      <c r="S9" s="63"/>
      <c r="T9" s="37"/>
      <c r="U9" s="1"/>
      <c r="V9" s="1"/>
      <c r="X9">
        <v>8</v>
      </c>
      <c r="Y9">
        <v>24</v>
      </c>
      <c r="Z9" s="1">
        <f t="shared" ref="Z9:Z37" si="0">Z3-0.1</f>
        <v>1.4</v>
      </c>
      <c r="AA9">
        <v>90</v>
      </c>
      <c r="AB9">
        <v>2</v>
      </c>
    </row>
    <row r="10" spans="1:28" x14ac:dyDescent="0.35">
      <c r="A10" s="27" t="s">
        <v>60</v>
      </c>
      <c r="B10" s="6"/>
      <c r="C10" s="3"/>
      <c r="D10" s="6"/>
      <c r="E10" s="3"/>
      <c r="F10" s="6"/>
      <c r="G10" s="22"/>
      <c r="H10" s="6"/>
      <c r="I10" s="34" t="s">
        <v>81</v>
      </c>
      <c r="J10" s="6">
        <v>241.8</v>
      </c>
      <c r="K10" s="22" t="s">
        <v>83</v>
      </c>
      <c r="L10" s="6"/>
      <c r="M10" s="6"/>
      <c r="N10" s="6"/>
      <c r="O10" s="6"/>
      <c r="P10" s="6"/>
      <c r="Q10" s="6"/>
      <c r="R10" s="6"/>
      <c r="S10" s="63"/>
      <c r="T10" s="37"/>
      <c r="U10" s="1"/>
      <c r="V10" s="1"/>
      <c r="X10">
        <v>9</v>
      </c>
      <c r="Y10">
        <v>23</v>
      </c>
      <c r="Z10" s="1">
        <f t="shared" si="0"/>
        <v>1.4</v>
      </c>
      <c r="AA10">
        <v>90</v>
      </c>
      <c r="AB10">
        <v>3</v>
      </c>
    </row>
    <row r="11" spans="1:28" x14ac:dyDescent="0.35">
      <c r="A11" s="27" t="s">
        <v>61</v>
      </c>
      <c r="B11" s="15">
        <v>1</v>
      </c>
      <c r="C11" s="3" t="s">
        <v>62</v>
      </c>
      <c r="D11" s="6"/>
      <c r="E11" s="3"/>
      <c r="F11" s="3"/>
      <c r="G11" s="22"/>
      <c r="H11" s="6"/>
      <c r="I11" s="34" t="s">
        <v>82</v>
      </c>
      <c r="J11" s="6">
        <v>74.5</v>
      </c>
      <c r="K11" s="22" t="s">
        <v>83</v>
      </c>
      <c r="L11" s="6"/>
      <c r="M11" s="6"/>
      <c r="N11" s="6"/>
      <c r="O11" s="6"/>
      <c r="P11" s="6"/>
      <c r="Q11" s="6"/>
      <c r="R11" s="6"/>
      <c r="S11" s="63"/>
      <c r="T11" s="37"/>
      <c r="U11" s="1"/>
      <c r="V11" s="1"/>
      <c r="X11">
        <v>10</v>
      </c>
      <c r="Y11">
        <v>22</v>
      </c>
      <c r="Z11" s="1">
        <f t="shared" si="0"/>
        <v>1.4</v>
      </c>
      <c r="AA11">
        <v>90</v>
      </c>
      <c r="AB11">
        <v>2</v>
      </c>
    </row>
    <row r="12" spans="1:28" x14ac:dyDescent="0.35">
      <c r="A12" s="27" t="s">
        <v>76</v>
      </c>
      <c r="B12" s="15">
        <v>90</v>
      </c>
      <c r="C12" s="3" t="s">
        <v>0</v>
      </c>
      <c r="D12" s="6"/>
      <c r="E12" s="6"/>
      <c r="F12" s="6"/>
      <c r="G12" s="22"/>
      <c r="H12" s="6"/>
      <c r="I12" s="34" t="s">
        <v>97</v>
      </c>
      <c r="J12" s="40" t="s">
        <v>88</v>
      </c>
      <c r="K12" s="64" t="s">
        <v>89</v>
      </c>
      <c r="L12" s="6"/>
      <c r="M12" s="6"/>
      <c r="N12" s="6"/>
      <c r="O12" s="6"/>
      <c r="P12" s="6"/>
      <c r="Q12" s="6"/>
      <c r="R12" s="6"/>
      <c r="S12" s="63"/>
      <c r="T12" s="37"/>
      <c r="U12" s="1"/>
      <c r="V12" s="1"/>
      <c r="X12">
        <v>11</v>
      </c>
      <c r="Y12">
        <v>21</v>
      </c>
      <c r="Z12" s="1">
        <f t="shared" si="0"/>
        <v>1.4</v>
      </c>
      <c r="AA12">
        <v>90</v>
      </c>
      <c r="AB12">
        <v>3</v>
      </c>
    </row>
    <row r="13" spans="1:28" x14ac:dyDescent="0.35">
      <c r="A13" s="27" t="s">
        <v>63</v>
      </c>
      <c r="B13" s="6"/>
      <c r="C13" s="6"/>
      <c r="D13" s="6"/>
      <c r="E13" s="6"/>
      <c r="F13" s="6"/>
      <c r="G13" s="22"/>
      <c r="H13" s="6"/>
      <c r="I13" s="34" t="s">
        <v>91</v>
      </c>
      <c r="J13" s="6">
        <v>2.8000000000000001E-2</v>
      </c>
      <c r="K13" s="22">
        <f>3.39/1000000</f>
        <v>3.3900000000000002E-6</v>
      </c>
      <c r="L13" s="6"/>
      <c r="M13" s="6"/>
      <c r="N13" s="6"/>
      <c r="O13" s="6"/>
      <c r="P13" s="6"/>
      <c r="Q13" s="6"/>
      <c r="R13" s="6"/>
      <c r="S13" s="63"/>
      <c r="T13" s="37"/>
      <c r="U13" s="1"/>
      <c r="V13" s="1"/>
      <c r="X13">
        <v>12</v>
      </c>
      <c r="Y13">
        <v>20</v>
      </c>
      <c r="Z13" s="1">
        <f t="shared" si="0"/>
        <v>1.4</v>
      </c>
      <c r="AA13">
        <v>90</v>
      </c>
      <c r="AB13">
        <v>2</v>
      </c>
    </row>
    <row r="14" spans="1:28" x14ac:dyDescent="0.35">
      <c r="A14" s="27" t="s">
        <v>8</v>
      </c>
      <c r="B14" s="6">
        <v>90</v>
      </c>
      <c r="C14" s="6" t="s">
        <v>0</v>
      </c>
      <c r="D14" s="6"/>
      <c r="E14" s="3"/>
      <c r="F14" s="6"/>
      <c r="G14" s="22"/>
      <c r="H14" s="6"/>
      <c r="I14" s="34" t="s">
        <v>92</v>
      </c>
      <c r="J14" s="40">
        <v>2.8000000000000001E-2</v>
      </c>
      <c r="K14" s="54">
        <f>5.02/1000000</f>
        <v>5.0199999999999994E-6</v>
      </c>
      <c r="L14" s="6"/>
      <c r="M14" s="6"/>
      <c r="N14" s="6"/>
      <c r="O14" s="6"/>
      <c r="P14" s="6"/>
      <c r="Q14" s="6"/>
      <c r="R14" s="6"/>
      <c r="S14" s="63"/>
      <c r="T14" s="37"/>
      <c r="U14" s="1"/>
      <c r="V14" s="1"/>
      <c r="X14">
        <v>13</v>
      </c>
      <c r="Y14">
        <v>25</v>
      </c>
      <c r="Z14" s="1">
        <f t="shared" si="0"/>
        <v>1.2999999999999998</v>
      </c>
      <c r="AA14">
        <v>90</v>
      </c>
      <c r="AB14">
        <v>3</v>
      </c>
    </row>
    <row r="15" spans="1:28" x14ac:dyDescent="0.35">
      <c r="A15" s="27" t="s">
        <v>7</v>
      </c>
      <c r="B15" s="6">
        <v>1</v>
      </c>
      <c r="C15" s="6" t="s">
        <v>0</v>
      </c>
      <c r="D15" s="6"/>
      <c r="E15" s="3"/>
      <c r="F15" s="43"/>
      <c r="G15" s="22"/>
      <c r="H15" s="6"/>
      <c r="I15" s="34" t="s">
        <v>93</v>
      </c>
      <c r="J15" s="40">
        <v>2.1999999999999999E-2</v>
      </c>
      <c r="K15" s="54">
        <f>4.81/1000000</f>
        <v>4.8099999999999997E-6</v>
      </c>
      <c r="L15" s="6"/>
      <c r="M15" s="6"/>
      <c r="N15" s="6"/>
      <c r="O15" s="6"/>
      <c r="P15" s="6"/>
      <c r="Q15" s="6"/>
      <c r="R15" s="6"/>
      <c r="S15" s="63"/>
      <c r="T15" s="37"/>
      <c r="U15" s="1"/>
      <c r="V15" s="1"/>
      <c r="X15">
        <v>14</v>
      </c>
      <c r="Y15">
        <v>24</v>
      </c>
      <c r="Z15" s="1">
        <f t="shared" si="0"/>
        <v>1.2999999999999998</v>
      </c>
      <c r="AA15">
        <v>90</v>
      </c>
      <c r="AB15">
        <v>2</v>
      </c>
    </row>
    <row r="16" spans="1:28" x14ac:dyDescent="0.35">
      <c r="A16" s="27" t="s">
        <v>9</v>
      </c>
      <c r="B16" s="6">
        <v>9</v>
      </c>
      <c r="C16" s="6" t="s">
        <v>0</v>
      </c>
      <c r="D16" s="6"/>
      <c r="E16" s="3"/>
      <c r="F16" s="6"/>
      <c r="G16" s="22"/>
      <c r="H16" s="6"/>
      <c r="I16" s="34" t="s">
        <v>90</v>
      </c>
      <c r="J16" s="40">
        <v>4.2999999999999997E-2</v>
      </c>
      <c r="K16" s="54">
        <f>1.15/100000</f>
        <v>1.1499999999999998E-5</v>
      </c>
      <c r="L16" s="6"/>
      <c r="M16" s="6"/>
      <c r="N16" s="6"/>
      <c r="O16" s="6"/>
      <c r="P16" s="6"/>
      <c r="Q16" s="6"/>
      <c r="R16" s="6"/>
      <c r="S16" s="63"/>
      <c r="T16" s="37"/>
      <c r="U16" s="1"/>
      <c r="V16" s="1"/>
      <c r="X16">
        <v>15</v>
      </c>
      <c r="Y16">
        <v>23</v>
      </c>
      <c r="Z16" s="1">
        <f t="shared" si="0"/>
        <v>1.2999999999999998</v>
      </c>
      <c r="AA16">
        <v>90</v>
      </c>
      <c r="AB16">
        <v>3</v>
      </c>
    </row>
    <row r="17" spans="1:28" x14ac:dyDescent="0.35">
      <c r="A17" s="27" t="s">
        <v>64</v>
      </c>
      <c r="B17" s="15">
        <v>5</v>
      </c>
      <c r="C17" s="6" t="s">
        <v>0</v>
      </c>
      <c r="D17" s="6"/>
      <c r="E17" s="3"/>
      <c r="F17" s="6"/>
      <c r="G17" s="22"/>
      <c r="H17" s="6"/>
      <c r="I17" s="34" t="s">
        <v>94</v>
      </c>
      <c r="J17" s="40">
        <v>3.4000000000000002E-2</v>
      </c>
      <c r="K17" s="54">
        <f>6.28/10000000</f>
        <v>6.2800000000000006E-7</v>
      </c>
      <c r="L17" s="6"/>
      <c r="M17" s="6"/>
      <c r="N17" s="6"/>
      <c r="O17" s="6"/>
      <c r="P17" s="6"/>
      <c r="Q17" s="6"/>
      <c r="R17" s="6"/>
      <c r="S17" s="63"/>
      <c r="T17" s="37"/>
      <c r="U17" s="1"/>
      <c r="V17" s="1"/>
      <c r="X17">
        <v>16</v>
      </c>
      <c r="Y17">
        <v>22</v>
      </c>
      <c r="Z17" s="1">
        <f t="shared" si="0"/>
        <v>1.2999999999999998</v>
      </c>
      <c r="AA17">
        <v>90</v>
      </c>
      <c r="AB17">
        <v>2</v>
      </c>
    </row>
    <row r="18" spans="1:28" x14ac:dyDescent="0.35">
      <c r="A18" s="27" t="s">
        <v>107</v>
      </c>
      <c r="B18" s="6">
        <v>100</v>
      </c>
      <c r="C18" s="6" t="s">
        <v>108</v>
      </c>
      <c r="D18" s="6"/>
      <c r="E18" s="3"/>
      <c r="F18" s="6"/>
      <c r="G18" s="22"/>
      <c r="H18" s="6"/>
      <c r="I18" s="34" t="s">
        <v>95</v>
      </c>
      <c r="J18" s="40">
        <v>3.5000000000000003E-2</v>
      </c>
      <c r="K18" s="54">
        <f>1.08/1000000</f>
        <v>1.08E-6</v>
      </c>
      <c r="L18" s="6"/>
      <c r="M18" s="6"/>
      <c r="N18" s="6"/>
      <c r="O18" s="6"/>
      <c r="P18" s="6"/>
      <c r="Q18" s="6"/>
      <c r="R18" s="6"/>
      <c r="S18" s="63"/>
      <c r="T18" s="37"/>
      <c r="U18" s="1"/>
      <c r="V18" s="1"/>
      <c r="X18">
        <v>17</v>
      </c>
      <c r="Y18">
        <v>21</v>
      </c>
      <c r="Z18" s="1">
        <f>Z12-0.1</f>
        <v>1.2999999999999998</v>
      </c>
      <c r="AA18">
        <v>90</v>
      </c>
      <c r="AB18">
        <v>3</v>
      </c>
    </row>
    <row r="19" spans="1:28" ht="15" thickBot="1" x14ac:dyDescent="0.4">
      <c r="A19" s="50"/>
      <c r="B19" s="51"/>
      <c r="C19" s="51"/>
      <c r="D19" s="51"/>
      <c r="E19" s="51"/>
      <c r="F19" s="51"/>
      <c r="G19" s="52"/>
      <c r="H19" s="6"/>
      <c r="I19" s="53" t="s">
        <v>96</v>
      </c>
      <c r="J19" s="55">
        <v>2.7E-2</v>
      </c>
      <c r="K19" s="56">
        <f>4.18/1000000</f>
        <v>4.1799999999999998E-6</v>
      </c>
      <c r="L19" s="6"/>
      <c r="M19" s="6"/>
      <c r="N19" s="6"/>
      <c r="O19" s="6"/>
      <c r="P19" s="6"/>
      <c r="Q19" s="6"/>
      <c r="R19" s="6"/>
      <c r="S19" s="63"/>
      <c r="T19" s="37"/>
      <c r="U19" s="1"/>
      <c r="V19" s="1"/>
      <c r="X19">
        <v>18</v>
      </c>
      <c r="Y19">
        <v>20</v>
      </c>
      <c r="Z19" s="1">
        <f t="shared" si="0"/>
        <v>1.2999999999999998</v>
      </c>
      <c r="AA19">
        <v>90</v>
      </c>
      <c r="AB19">
        <v>2</v>
      </c>
    </row>
    <row r="20" spans="1:28" x14ac:dyDescent="0.35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3"/>
      <c r="T20" s="37"/>
      <c r="U20" s="1"/>
      <c r="V20" s="1"/>
      <c r="X20">
        <v>19</v>
      </c>
      <c r="Y20">
        <v>25</v>
      </c>
      <c r="Z20" s="1">
        <f t="shared" si="0"/>
        <v>1.1999999999999997</v>
      </c>
      <c r="AA20">
        <v>90</v>
      </c>
      <c r="AB20">
        <v>3</v>
      </c>
    </row>
    <row r="21" spans="1:28" ht="15" thickBot="1" x14ac:dyDescent="0.4">
      <c r="A21" s="3" t="s">
        <v>53</v>
      </c>
      <c r="B21" s="3"/>
      <c r="C21" s="3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3"/>
      <c r="T21" s="37"/>
      <c r="U21" s="1"/>
      <c r="V21" s="1"/>
      <c r="X21">
        <v>20</v>
      </c>
      <c r="Y21">
        <v>24</v>
      </c>
      <c r="Z21" s="1">
        <f t="shared" si="0"/>
        <v>1.1999999999999997</v>
      </c>
      <c r="AA21">
        <v>90</v>
      </c>
      <c r="AB21">
        <v>2</v>
      </c>
    </row>
    <row r="22" spans="1:28" ht="15" thickBot="1" x14ac:dyDescent="0.4">
      <c r="A22" s="23" t="s">
        <v>29</v>
      </c>
      <c r="B22" s="24"/>
      <c r="C22" s="24"/>
      <c r="D22" s="25"/>
      <c r="E22" s="26" t="s">
        <v>21</v>
      </c>
      <c r="F22" s="46">
        <f>33890.4*(B23/100)+144180.6*((B24/100)-(B25/100)/8)</f>
        <v>18996.248625</v>
      </c>
      <c r="G22" s="25" t="s">
        <v>15</v>
      </c>
      <c r="H22" s="21"/>
      <c r="I22" s="6"/>
      <c r="J22" s="3" t="s">
        <v>54</v>
      </c>
      <c r="K22" s="11"/>
      <c r="L22" s="3"/>
      <c r="M22" s="3"/>
      <c r="N22" s="3"/>
      <c r="O22" s="3"/>
      <c r="P22" s="3"/>
      <c r="Q22" s="3"/>
      <c r="R22" s="6"/>
      <c r="S22" s="63"/>
      <c r="T22" s="37"/>
      <c r="U22" s="1"/>
      <c r="V22" s="1"/>
      <c r="X22">
        <v>21</v>
      </c>
      <c r="Y22">
        <v>23</v>
      </c>
      <c r="Z22" s="1">
        <f t="shared" si="0"/>
        <v>1.1999999999999997</v>
      </c>
      <c r="AA22">
        <v>90</v>
      </c>
      <c r="AB22">
        <v>3</v>
      </c>
    </row>
    <row r="23" spans="1:28" x14ac:dyDescent="0.35">
      <c r="A23" s="27" t="s">
        <v>8</v>
      </c>
      <c r="B23" s="13">
        <v>51</v>
      </c>
      <c r="C23" s="3" t="s">
        <v>0</v>
      </c>
      <c r="D23" s="3"/>
      <c r="E23" s="12" t="s">
        <v>11</v>
      </c>
      <c r="F23" s="47">
        <f>((100-B26-B27)/100)*F22</f>
        <v>15956.848845</v>
      </c>
      <c r="G23" s="6" t="s">
        <v>14</v>
      </c>
      <c r="H23" s="22"/>
      <c r="I23" s="9"/>
      <c r="J23" s="23" t="s">
        <v>68</v>
      </c>
      <c r="K23" s="57"/>
      <c r="L23" s="24"/>
      <c r="M23" s="24"/>
      <c r="N23" s="24"/>
      <c r="O23" s="57" t="s">
        <v>65</v>
      </c>
      <c r="P23" s="24" t="s">
        <v>66</v>
      </c>
      <c r="Q23" s="35" t="s">
        <v>67</v>
      </c>
      <c r="R23" s="6"/>
      <c r="S23" s="63"/>
      <c r="T23" s="37"/>
      <c r="U23" s="1"/>
      <c r="V23" s="1"/>
      <c r="X23">
        <v>22</v>
      </c>
      <c r="Y23">
        <v>22</v>
      </c>
      <c r="Z23" s="1">
        <f t="shared" si="0"/>
        <v>1.1999999999999997</v>
      </c>
      <c r="AA23">
        <v>90</v>
      </c>
      <c r="AB23">
        <v>2</v>
      </c>
    </row>
    <row r="24" spans="1:28" x14ac:dyDescent="0.35">
      <c r="A24" s="27" t="s">
        <v>5</v>
      </c>
      <c r="B24" s="14">
        <v>6.5</v>
      </c>
      <c r="C24" s="3" t="s">
        <v>0</v>
      </c>
      <c r="D24" s="3"/>
      <c r="E24" s="12" t="s">
        <v>12</v>
      </c>
      <c r="F24" s="47">
        <f>(B27/100)*1000/18</f>
        <v>7.2222222222222223</v>
      </c>
      <c r="G24" s="6" t="s">
        <v>13</v>
      </c>
      <c r="H24" s="22"/>
      <c r="I24" s="6"/>
      <c r="J24" s="27" t="s">
        <v>69</v>
      </c>
      <c r="K24" s="45">
        <f>(B9/100)*B36</f>
        <v>9.5484375000000004</v>
      </c>
      <c r="L24" s="3" t="s">
        <v>74</v>
      </c>
      <c r="M24" s="12"/>
      <c r="N24" s="12" t="s">
        <v>71</v>
      </c>
      <c r="O24" s="38">
        <f>(1-B26/100-B27/100)*B32</f>
        <v>35.699999999999996</v>
      </c>
      <c r="P24" s="42">
        <f>(B14/100)*K27/12</f>
        <v>5.2499999999999986E-3</v>
      </c>
      <c r="Q24" s="58">
        <f>O24-P24</f>
        <v>35.694749999999999</v>
      </c>
      <c r="R24" s="6"/>
      <c r="S24" s="63"/>
      <c r="T24" s="37"/>
      <c r="U24" s="1"/>
      <c r="V24" s="1"/>
      <c r="X24">
        <v>23</v>
      </c>
      <c r="Y24">
        <v>21</v>
      </c>
      <c r="Z24" s="1">
        <f>Z18-0.1</f>
        <v>1.1999999999999997</v>
      </c>
      <c r="AA24">
        <v>90</v>
      </c>
      <c r="AB24">
        <v>3</v>
      </c>
    </row>
    <row r="25" spans="1:28" x14ac:dyDescent="0.35">
      <c r="A25" s="27" t="s">
        <v>27</v>
      </c>
      <c r="B25" s="13">
        <f>100-B23-B24</f>
        <v>42.5</v>
      </c>
      <c r="C25" s="3" t="s">
        <v>0</v>
      </c>
      <c r="D25" s="11">
        <f>SUM(B23:B25)</f>
        <v>100</v>
      </c>
      <c r="E25" s="12" t="s">
        <v>16</v>
      </c>
      <c r="F25" s="47">
        <f>(((100-B26-B27)/100)*B33)/2</f>
        <v>27.3</v>
      </c>
      <c r="G25" s="6" t="s">
        <v>13</v>
      </c>
      <c r="H25" s="22"/>
      <c r="I25" s="6"/>
      <c r="J25" s="27" t="s">
        <v>70</v>
      </c>
      <c r="K25" s="45">
        <f>B11*K24</f>
        <v>9.5484375000000004</v>
      </c>
      <c r="L25" s="3" t="s">
        <v>75</v>
      </c>
      <c r="M25" s="12"/>
      <c r="N25" s="12" t="s">
        <v>72</v>
      </c>
      <c r="O25" s="38">
        <f>(1-B26/100-B27/100)*B33+2*F24+2*K25</f>
        <v>88.141319444444449</v>
      </c>
      <c r="P25" s="42">
        <f>(B15/100)*K27/1</f>
        <v>6.9999999999999978E-4</v>
      </c>
      <c r="Q25" s="58">
        <f t="shared" ref="Q25:Q26" si="1">O25-P25</f>
        <v>88.140619444444454</v>
      </c>
      <c r="R25" s="6"/>
      <c r="S25" s="63"/>
      <c r="T25" s="37"/>
      <c r="U25" s="1"/>
      <c r="V25" s="1"/>
      <c r="X25">
        <v>24</v>
      </c>
      <c r="Y25">
        <v>20</v>
      </c>
      <c r="Z25" s="1">
        <f t="shared" si="0"/>
        <v>1.1999999999999997</v>
      </c>
      <c r="AA25">
        <v>90</v>
      </c>
      <c r="AB25">
        <v>2</v>
      </c>
    </row>
    <row r="26" spans="1:28" x14ac:dyDescent="0.35">
      <c r="A26" s="27" t="s">
        <v>28</v>
      </c>
      <c r="B26" s="8">
        <v>3</v>
      </c>
      <c r="C26" s="3" t="s">
        <v>0</v>
      </c>
      <c r="D26" s="3"/>
      <c r="E26" s="12" t="s">
        <v>17</v>
      </c>
      <c r="F26" s="47">
        <f>SUM(F24:F25)</f>
        <v>34.522222222222226</v>
      </c>
      <c r="G26" s="6" t="s">
        <v>13</v>
      </c>
      <c r="H26" s="22"/>
      <c r="I26" s="3"/>
      <c r="J26" s="27"/>
      <c r="K26" s="3"/>
      <c r="L26" s="3"/>
      <c r="M26" s="12"/>
      <c r="N26" s="12" t="s">
        <v>73</v>
      </c>
      <c r="O26" s="38">
        <f>(1-B26/100-B27/100)*B34+F24+K25+2*K24</f>
        <v>58.180034722222217</v>
      </c>
      <c r="P26" s="42">
        <f>(B16/100)*K27/16</f>
        <v>3.9374999999999984E-4</v>
      </c>
      <c r="Q26" s="58">
        <f t="shared" si="1"/>
        <v>58.179640972222217</v>
      </c>
      <c r="R26" s="6"/>
      <c r="S26" s="63"/>
      <c r="T26" s="37"/>
      <c r="U26" s="1"/>
      <c r="V26" s="1"/>
      <c r="X26">
        <v>25</v>
      </c>
      <c r="Y26">
        <v>25</v>
      </c>
      <c r="Z26" s="1">
        <f t="shared" si="0"/>
        <v>1.0999999999999996</v>
      </c>
      <c r="AA26">
        <v>90</v>
      </c>
      <c r="AB26">
        <v>3</v>
      </c>
    </row>
    <row r="27" spans="1:28" x14ac:dyDescent="0.35">
      <c r="A27" s="27" t="s">
        <v>12</v>
      </c>
      <c r="B27" s="15">
        <v>13</v>
      </c>
      <c r="C27" s="3" t="s">
        <v>0</v>
      </c>
      <c r="D27" s="3"/>
      <c r="E27" s="12" t="s">
        <v>18</v>
      </c>
      <c r="F27" s="47">
        <f>F23-40.7*F26</f>
        <v>14551.794400555556</v>
      </c>
      <c r="G27" s="6" t="s">
        <v>14</v>
      </c>
      <c r="H27" s="22"/>
      <c r="I27" s="6"/>
      <c r="J27" s="27" t="s">
        <v>77</v>
      </c>
      <c r="K27" s="41">
        <f>1-B12/100-B26/100</f>
        <v>6.9999999999999979E-2</v>
      </c>
      <c r="L27" s="3" t="s">
        <v>49</v>
      </c>
      <c r="M27" s="3"/>
      <c r="N27" s="3"/>
      <c r="O27" s="3"/>
      <c r="P27" s="3"/>
      <c r="Q27" s="28"/>
      <c r="R27" s="6"/>
      <c r="S27" s="63"/>
      <c r="T27" s="37"/>
      <c r="U27" s="1"/>
      <c r="V27" s="1"/>
      <c r="X27">
        <v>26</v>
      </c>
      <c r="Y27">
        <v>24</v>
      </c>
      <c r="Z27" s="1">
        <f t="shared" si="0"/>
        <v>1.0999999999999996</v>
      </c>
      <c r="AA27">
        <v>90</v>
      </c>
      <c r="AB27">
        <v>2</v>
      </c>
    </row>
    <row r="28" spans="1:28" x14ac:dyDescent="0.35">
      <c r="A28" s="27" t="s">
        <v>22</v>
      </c>
      <c r="B28" s="3"/>
      <c r="C28" s="3"/>
      <c r="D28" s="3"/>
      <c r="E28" s="12"/>
      <c r="F28" s="47"/>
      <c r="G28" s="6"/>
      <c r="H28" s="22"/>
      <c r="I28" s="6"/>
      <c r="J28" s="27"/>
      <c r="K28" s="3"/>
      <c r="L28" s="3"/>
      <c r="M28" s="3"/>
      <c r="N28" s="3"/>
      <c r="O28" s="3"/>
      <c r="P28" s="3"/>
      <c r="Q28" s="28"/>
      <c r="R28" s="6"/>
      <c r="S28" s="63"/>
      <c r="T28" s="37"/>
      <c r="U28" s="1"/>
      <c r="X28">
        <v>27</v>
      </c>
      <c r="Y28">
        <v>23</v>
      </c>
      <c r="Z28" s="1">
        <f>Z22-0.1</f>
        <v>1.0999999999999996</v>
      </c>
      <c r="AA28">
        <v>90</v>
      </c>
      <c r="AB28">
        <v>3</v>
      </c>
    </row>
    <row r="29" spans="1:28" x14ac:dyDescent="0.35">
      <c r="A29" s="27" t="s">
        <v>8</v>
      </c>
      <c r="B29" s="11">
        <f>B23*10</f>
        <v>510</v>
      </c>
      <c r="C29" s="3" t="s">
        <v>30</v>
      </c>
      <c r="D29" s="3"/>
      <c r="E29" s="12" t="s">
        <v>23</v>
      </c>
      <c r="F29" s="48">
        <v>362068.96551724139</v>
      </c>
      <c r="G29" s="3" t="s">
        <v>42</v>
      </c>
      <c r="H29" s="28"/>
      <c r="I29" s="6"/>
      <c r="J29" s="27" t="s">
        <v>55</v>
      </c>
      <c r="K29" s="3"/>
      <c r="L29" s="3"/>
      <c r="M29" s="3"/>
      <c r="N29" s="3"/>
      <c r="O29" s="3"/>
      <c r="P29" s="3"/>
      <c r="Q29" s="28"/>
      <c r="R29" s="6"/>
      <c r="S29" s="63"/>
      <c r="T29" s="37"/>
      <c r="U29" s="1"/>
      <c r="X29">
        <v>28</v>
      </c>
      <c r="Y29">
        <v>22</v>
      </c>
      <c r="Z29" s="1">
        <f t="shared" si="0"/>
        <v>1.0999999999999996</v>
      </c>
      <c r="AA29">
        <v>90</v>
      </c>
      <c r="AB29">
        <v>2</v>
      </c>
    </row>
    <row r="30" spans="1:28" x14ac:dyDescent="0.35">
      <c r="A30" s="27" t="s">
        <v>5</v>
      </c>
      <c r="B30" s="11">
        <f>B24*10</f>
        <v>65</v>
      </c>
      <c r="C30" s="3" t="s">
        <v>30</v>
      </c>
      <c r="D30" s="3"/>
      <c r="E30" s="12" t="s">
        <v>110</v>
      </c>
      <c r="F30" s="11">
        <f>F29*1000/(365*24*3600)</f>
        <v>11.481131580328558</v>
      </c>
      <c r="G30" s="6" t="s">
        <v>111</v>
      </c>
      <c r="H30" s="28"/>
      <c r="I30" s="3"/>
      <c r="J30" s="27" t="s">
        <v>56</v>
      </c>
      <c r="K30" s="59">
        <f>((Q25/2)-(2*(B17/100)*(Q24)))/(1+2*(B17/100))</f>
        <v>36.818940656565658</v>
      </c>
      <c r="L30" s="3" t="s">
        <v>74</v>
      </c>
      <c r="M30" s="3"/>
      <c r="N30" s="3" t="s">
        <v>52</v>
      </c>
      <c r="O30" s="3"/>
      <c r="P30" s="3"/>
      <c r="Q30" s="28"/>
      <c r="R30" s="6"/>
      <c r="S30" s="63"/>
      <c r="T30" s="37"/>
      <c r="U30" s="1"/>
      <c r="X30">
        <v>29</v>
      </c>
      <c r="Y30">
        <v>21</v>
      </c>
      <c r="Z30" s="1">
        <f t="shared" si="0"/>
        <v>1.0999999999999996</v>
      </c>
      <c r="AA30">
        <v>90</v>
      </c>
      <c r="AB30">
        <v>3</v>
      </c>
    </row>
    <row r="31" spans="1:28" x14ac:dyDescent="0.35">
      <c r="A31" s="27" t="s">
        <v>27</v>
      </c>
      <c r="B31" s="11">
        <f>B25*10</f>
        <v>425</v>
      </c>
      <c r="C31" s="3" t="s">
        <v>30</v>
      </c>
      <c r="D31" s="3"/>
      <c r="E31" s="12" t="s">
        <v>25</v>
      </c>
      <c r="F31" s="48">
        <v>78.941071428571433</v>
      </c>
      <c r="G31" s="3" t="s">
        <v>24</v>
      </c>
      <c r="H31" s="28"/>
      <c r="I31" s="3"/>
      <c r="J31" s="27" t="s">
        <v>57</v>
      </c>
      <c r="K31" s="59">
        <f>Q24-K32-K33</f>
        <v>5.9584899621212166</v>
      </c>
      <c r="L31" s="3" t="s">
        <v>74</v>
      </c>
      <c r="M31" s="3"/>
      <c r="N31" s="3" t="s">
        <v>8</v>
      </c>
      <c r="O31" s="10">
        <f>O24-P24-K31-K32-K33</f>
        <v>0</v>
      </c>
      <c r="P31" s="3"/>
      <c r="Q31" s="28"/>
      <c r="R31" s="6"/>
      <c r="S31" s="63"/>
      <c r="T31" s="37"/>
      <c r="U31" s="1"/>
      <c r="X31">
        <v>30</v>
      </c>
      <c r="Y31">
        <v>20</v>
      </c>
      <c r="Z31" s="1">
        <f>Z25-0.1</f>
        <v>1.0999999999999996</v>
      </c>
      <c r="AA31">
        <v>90</v>
      </c>
      <c r="AB31">
        <v>2</v>
      </c>
    </row>
    <row r="32" spans="1:28" x14ac:dyDescent="0.35">
      <c r="A32" s="27" t="s">
        <v>8</v>
      </c>
      <c r="B32" s="11">
        <f>B29/12</f>
        <v>42.5</v>
      </c>
      <c r="C32" s="3" t="s">
        <v>10</v>
      </c>
      <c r="D32" s="3"/>
      <c r="E32" s="12"/>
      <c r="F32" s="3"/>
      <c r="G32" s="3"/>
      <c r="H32" s="28"/>
      <c r="I32" s="3"/>
      <c r="J32" s="27" t="s">
        <v>58</v>
      </c>
      <c r="K32" s="59">
        <f>(B17/100)*(Q24+K30)</f>
        <v>3.625684532828283</v>
      </c>
      <c r="L32" s="3" t="s">
        <v>74</v>
      </c>
      <c r="M32" s="3"/>
      <c r="N32" s="3" t="s">
        <v>9</v>
      </c>
      <c r="O32" s="10">
        <f>O26-P26-K31-2*K33</f>
        <v>0</v>
      </c>
      <c r="P32" s="3"/>
      <c r="Q32" s="28"/>
      <c r="R32" s="6"/>
      <c r="S32" s="63"/>
      <c r="T32" s="37"/>
      <c r="U32" s="1"/>
      <c r="X32">
        <v>31</v>
      </c>
      <c r="Y32">
        <v>25</v>
      </c>
      <c r="Z32" s="1">
        <f t="shared" si="0"/>
        <v>0.99999999999999967</v>
      </c>
      <c r="AA32">
        <v>90</v>
      </c>
      <c r="AB32">
        <v>3</v>
      </c>
    </row>
    <row r="33" spans="1:28" x14ac:dyDescent="0.35">
      <c r="A33" s="27" t="s">
        <v>5</v>
      </c>
      <c r="B33" s="11">
        <f>B30/1</f>
        <v>65</v>
      </c>
      <c r="C33" s="3" t="s">
        <v>10</v>
      </c>
      <c r="D33" s="3"/>
      <c r="E33" s="12" t="s">
        <v>47</v>
      </c>
      <c r="F33" s="3">
        <v>150</v>
      </c>
      <c r="G33" s="3" t="s">
        <v>1</v>
      </c>
      <c r="H33" s="28"/>
      <c r="I33" s="3"/>
      <c r="J33" s="27" t="s">
        <v>20</v>
      </c>
      <c r="K33" s="59">
        <f>Q26-Q24+K32</f>
        <v>26.110575505050502</v>
      </c>
      <c r="L33" s="3" t="s">
        <v>74</v>
      </c>
      <c r="M33" s="3"/>
      <c r="N33" s="3" t="s">
        <v>7</v>
      </c>
      <c r="O33" s="10">
        <f>O25-P25-2*K30-4*K32</f>
        <v>0</v>
      </c>
      <c r="P33" s="3"/>
      <c r="Q33" s="28"/>
      <c r="R33" s="6"/>
      <c r="S33" s="63"/>
      <c r="T33" s="37"/>
      <c r="U33" s="1"/>
      <c r="X33">
        <v>32</v>
      </c>
      <c r="Y33">
        <v>24</v>
      </c>
      <c r="Z33" s="1">
        <f t="shared" si="0"/>
        <v>0.99999999999999967</v>
      </c>
      <c r="AA33">
        <v>90</v>
      </c>
      <c r="AB33">
        <v>2</v>
      </c>
    </row>
    <row r="34" spans="1:28" x14ac:dyDescent="0.35">
      <c r="A34" s="27" t="s">
        <v>27</v>
      </c>
      <c r="B34" s="11">
        <f>B31/16</f>
        <v>26.5625</v>
      </c>
      <c r="C34" s="3" t="s">
        <v>10</v>
      </c>
      <c r="D34" s="3"/>
      <c r="E34" s="12" t="s">
        <v>48</v>
      </c>
      <c r="F34" s="3">
        <v>175</v>
      </c>
      <c r="G34" s="3" t="s">
        <v>1</v>
      </c>
      <c r="H34" s="28"/>
      <c r="I34" s="3"/>
      <c r="J34" s="27"/>
      <c r="K34" s="3"/>
      <c r="L34" s="3"/>
      <c r="M34" s="3"/>
      <c r="N34" s="3"/>
      <c r="O34" s="10"/>
      <c r="P34" s="11"/>
      <c r="Q34" s="28"/>
      <c r="R34" s="6"/>
      <c r="S34" s="63"/>
      <c r="T34" s="37"/>
      <c r="U34" s="1"/>
      <c r="X34">
        <v>33</v>
      </c>
      <c r="Y34">
        <v>23</v>
      </c>
      <c r="Z34" s="1">
        <f t="shared" si="0"/>
        <v>0.99999999999999967</v>
      </c>
      <c r="AA34">
        <v>90</v>
      </c>
      <c r="AB34">
        <v>3</v>
      </c>
    </row>
    <row r="35" spans="1:28" x14ac:dyDescent="0.35">
      <c r="A35" s="27" t="s">
        <v>43</v>
      </c>
      <c r="B35" s="11">
        <f>B32*393.5+(B33/2)*285.8-F22</f>
        <v>7016.0013749999998</v>
      </c>
      <c r="C35" s="3" t="s">
        <v>44</v>
      </c>
      <c r="D35" s="3"/>
      <c r="E35" s="3"/>
      <c r="F35" s="3">
        <v>200</v>
      </c>
      <c r="G35" s="3" t="s">
        <v>1</v>
      </c>
      <c r="H35" s="28"/>
      <c r="I35" s="3"/>
      <c r="J35" s="27" t="s">
        <v>78</v>
      </c>
      <c r="K35" s="45">
        <f>K31*J9+K32*J11+K33*J8-(1-B26/100-B27/100)*B35-J10*(F24+K25)</f>
        <v>1254.4514239141417</v>
      </c>
      <c r="L35" s="3" t="s">
        <v>46</v>
      </c>
      <c r="M35" s="3"/>
      <c r="N35" s="3" t="s">
        <v>86</v>
      </c>
      <c r="O35" s="68">
        <f>K39-273</f>
        <v>1157.6917385339993</v>
      </c>
      <c r="P35" s="3" t="s">
        <v>6</v>
      </c>
      <c r="Q35" s="22"/>
      <c r="R35" s="6"/>
      <c r="S35" s="63"/>
      <c r="T35" s="37"/>
      <c r="U35" s="1"/>
      <c r="X35">
        <v>34</v>
      </c>
      <c r="Y35">
        <v>22</v>
      </c>
      <c r="Z35" s="1">
        <f>Z29-0.1</f>
        <v>0.99999999999999967</v>
      </c>
      <c r="AA35">
        <v>90</v>
      </c>
      <c r="AB35">
        <v>2</v>
      </c>
    </row>
    <row r="36" spans="1:28" ht="15" thickBot="1" x14ac:dyDescent="0.4">
      <c r="A36" s="29" t="s">
        <v>19</v>
      </c>
      <c r="B36" s="30">
        <f>((100-B27-B26)/100)*(B32+B33/4-B34/2)</f>
        <v>38.193750000000001</v>
      </c>
      <c r="C36" s="31" t="s">
        <v>45</v>
      </c>
      <c r="D36" s="31"/>
      <c r="E36" s="31"/>
      <c r="F36" s="31"/>
      <c r="G36" s="31"/>
      <c r="H36" s="32"/>
      <c r="I36" s="3"/>
      <c r="J36" s="27" t="s">
        <v>84</v>
      </c>
      <c r="K36" s="45">
        <f>(F24+K25)*40.7</f>
        <v>682.56585069444452</v>
      </c>
      <c r="L36" s="3" t="s">
        <v>46</v>
      </c>
      <c r="M36" s="3"/>
      <c r="N36" s="3" t="s">
        <v>102</v>
      </c>
      <c r="O36" s="38">
        <f>K30*J10+K31*(J8-J9)+K32*(J8+2*J10-J11)</f>
        <v>13499.046916085861</v>
      </c>
      <c r="P36" s="3" t="s">
        <v>46</v>
      </c>
      <c r="Q36" s="22"/>
      <c r="R36" s="6"/>
      <c r="S36" s="63"/>
      <c r="T36" s="37"/>
      <c r="U36" s="1"/>
      <c r="X36">
        <v>35</v>
      </c>
      <c r="Y36">
        <v>21</v>
      </c>
      <c r="Z36" s="1">
        <f t="shared" si="0"/>
        <v>0.99999999999999967</v>
      </c>
      <c r="AA36">
        <v>90</v>
      </c>
      <c r="AB36">
        <v>3</v>
      </c>
    </row>
    <row r="37" spans="1:28" x14ac:dyDescent="0.35">
      <c r="A37" s="3"/>
      <c r="B37" s="3"/>
      <c r="C37" s="3"/>
      <c r="D37" s="3"/>
      <c r="E37" s="3"/>
      <c r="F37" s="3"/>
      <c r="G37" s="3"/>
      <c r="H37" s="3"/>
      <c r="I37" s="3"/>
      <c r="J37" s="27" t="s">
        <v>85</v>
      </c>
      <c r="K37" s="66">
        <f>(33890.4*(B14/100)+144180.6*((B15/100)-(B16/100)/8))*K27-(P25/2)*40.7</f>
        <v>2122.4651524999995</v>
      </c>
      <c r="L37" s="3" t="s">
        <v>46</v>
      </c>
      <c r="M37" s="3"/>
      <c r="N37" s="3" t="s">
        <v>103</v>
      </c>
      <c r="O37" s="59">
        <f>(K30+K31+K32+K33)*22.4/1000</f>
        <v>1.6243066707070706</v>
      </c>
      <c r="P37" s="3" t="s">
        <v>105</v>
      </c>
      <c r="Q37" s="22"/>
      <c r="R37" s="6"/>
      <c r="S37" s="63"/>
      <c r="T37" s="37"/>
      <c r="U37" s="1"/>
      <c r="X37">
        <v>36</v>
      </c>
      <c r="Y37">
        <v>20</v>
      </c>
      <c r="Z37" s="1">
        <f t="shared" si="0"/>
        <v>0.99999999999999967</v>
      </c>
      <c r="AA37">
        <v>90</v>
      </c>
      <c r="AB37">
        <v>2</v>
      </c>
    </row>
    <row r="38" spans="1:28" x14ac:dyDescent="0.35">
      <c r="A38" s="3"/>
      <c r="B38" s="3"/>
      <c r="C38" s="3"/>
      <c r="D38" s="3"/>
      <c r="E38" s="3"/>
      <c r="F38" s="3"/>
      <c r="G38" s="3"/>
      <c r="H38" s="3"/>
      <c r="I38" s="3"/>
      <c r="J38" s="49" t="s">
        <v>87</v>
      </c>
      <c r="K38" s="67">
        <f>K35+K36+K37-K30*(J13*(K39-298)-(K13/2)*(K39^2-298^2))-K31*(J14*(K39-298)+(K14/2)*(K39^2-298^2))-K32*(J15*(K39-298)+(K15/2)*(K39^2-298^2))-K33*(J16*(K39-298)+(K16/2)*(K39^2-298^2))</f>
        <v>1122.5602214167784</v>
      </c>
      <c r="L38" s="6" t="s">
        <v>100</v>
      </c>
      <c r="M38" s="6"/>
      <c r="N38" s="6" t="s">
        <v>102</v>
      </c>
      <c r="O38" s="65">
        <f>O36/O37</f>
        <v>8310.6516518888911</v>
      </c>
      <c r="P38" s="6" t="s">
        <v>104</v>
      </c>
      <c r="Q38" s="22"/>
      <c r="R38" s="6"/>
      <c r="S38" s="63"/>
      <c r="T38" s="37"/>
      <c r="U38" s="1"/>
      <c r="X38">
        <v>37</v>
      </c>
      <c r="Y38">
        <v>25</v>
      </c>
      <c r="Z38" s="1">
        <v>1.5</v>
      </c>
      <c r="AA38">
        <v>85</v>
      </c>
      <c r="AB38">
        <v>3</v>
      </c>
    </row>
    <row r="39" spans="1:28" ht="15" thickBot="1" x14ac:dyDescent="0.4">
      <c r="A39" s="3"/>
      <c r="B39" s="3"/>
      <c r="C39" s="3"/>
      <c r="D39" s="3"/>
      <c r="E39" s="3"/>
      <c r="F39" s="3"/>
      <c r="G39" s="3"/>
      <c r="H39" s="3"/>
      <c r="I39" s="3"/>
      <c r="J39" s="29" t="s">
        <v>86</v>
      </c>
      <c r="K39" s="60">
        <v>1430.6917385339993</v>
      </c>
      <c r="L39" s="31" t="s">
        <v>98</v>
      </c>
      <c r="M39" s="31"/>
      <c r="N39" s="31" t="s">
        <v>106</v>
      </c>
      <c r="O39" s="39">
        <f>K35+K36+K37</f>
        <v>4059.4824271085859</v>
      </c>
      <c r="P39" s="31" t="s">
        <v>46</v>
      </c>
      <c r="Q39" s="52"/>
      <c r="R39" s="6"/>
      <c r="S39" s="63"/>
      <c r="T39" s="37"/>
      <c r="U39" s="1"/>
      <c r="X39">
        <v>38</v>
      </c>
      <c r="Y39">
        <v>24</v>
      </c>
      <c r="Z39" s="1">
        <v>1.5</v>
      </c>
      <c r="AA39">
        <v>85</v>
      </c>
      <c r="AB39">
        <v>2</v>
      </c>
    </row>
    <row r="40" spans="1:28" x14ac:dyDescent="0.35">
      <c r="A40" s="3" t="s">
        <v>34</v>
      </c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6"/>
      <c r="S40" s="63"/>
      <c r="T40" s="37"/>
      <c r="U40" s="1"/>
      <c r="X40">
        <v>39</v>
      </c>
      <c r="Y40">
        <v>23</v>
      </c>
      <c r="Z40" s="1">
        <v>1.5</v>
      </c>
      <c r="AA40">
        <v>85</v>
      </c>
      <c r="AB40">
        <v>3</v>
      </c>
    </row>
    <row r="41" spans="1:28" x14ac:dyDescent="0.35">
      <c r="A41" s="3" t="s">
        <v>35</v>
      </c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6"/>
      <c r="S41" s="63"/>
      <c r="T41" s="37"/>
      <c r="U41" s="1"/>
      <c r="X41">
        <v>40</v>
      </c>
      <c r="Y41">
        <v>22</v>
      </c>
      <c r="Z41" s="1">
        <v>1.5</v>
      </c>
      <c r="AA41">
        <v>85</v>
      </c>
      <c r="AB41">
        <v>2</v>
      </c>
    </row>
    <row r="42" spans="1:28" x14ac:dyDescent="0.35">
      <c r="A42" s="3" t="s">
        <v>50</v>
      </c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6"/>
      <c r="S42" s="63"/>
      <c r="T42" s="37"/>
      <c r="U42" s="1"/>
      <c r="X42">
        <v>41</v>
      </c>
      <c r="Y42">
        <v>21</v>
      </c>
      <c r="Z42" s="1">
        <v>1.5</v>
      </c>
      <c r="AA42">
        <v>85</v>
      </c>
      <c r="AB42">
        <v>3</v>
      </c>
    </row>
    <row r="43" spans="1:28" x14ac:dyDescent="0.35">
      <c r="A43" s="3" t="s">
        <v>51</v>
      </c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6"/>
      <c r="S43" s="63"/>
      <c r="T43" s="37"/>
      <c r="U43" s="1"/>
      <c r="X43">
        <v>42</v>
      </c>
      <c r="Y43">
        <v>20</v>
      </c>
      <c r="Z43" s="1">
        <v>1.5</v>
      </c>
      <c r="AA43">
        <v>85</v>
      </c>
      <c r="AB43">
        <v>2</v>
      </c>
    </row>
    <row r="44" spans="1:28" x14ac:dyDescent="0.35">
      <c r="A44" s="3" t="s">
        <v>99</v>
      </c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6"/>
      <c r="S44" s="63"/>
      <c r="T44" s="37"/>
      <c r="U44" s="1"/>
      <c r="X44">
        <v>43</v>
      </c>
      <c r="Y44">
        <v>25</v>
      </c>
      <c r="Z44" s="1">
        <f>Z38-0.1</f>
        <v>1.4</v>
      </c>
      <c r="AA44">
        <v>85</v>
      </c>
      <c r="AB44">
        <v>3</v>
      </c>
    </row>
    <row r="45" spans="1:28" x14ac:dyDescent="0.35">
      <c r="A45" s="3" t="s">
        <v>101</v>
      </c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6"/>
      <c r="S45" s="63"/>
      <c r="T45" s="37"/>
      <c r="U45" s="1"/>
      <c r="X45">
        <v>44</v>
      </c>
      <c r="Y45">
        <v>24</v>
      </c>
      <c r="Z45" s="1">
        <f t="shared" ref="Z45:Z47" si="2">Z39-0.1</f>
        <v>1.4</v>
      </c>
      <c r="AA45">
        <v>85</v>
      </c>
      <c r="AB45">
        <v>2</v>
      </c>
    </row>
    <row r="46" spans="1:28" x14ac:dyDescent="0.35">
      <c r="A46" s="3" t="s">
        <v>109</v>
      </c>
      <c r="B46" s="3"/>
      <c r="C46" s="3"/>
      <c r="D46" s="3"/>
      <c r="E46" s="3"/>
      <c r="F46" s="3"/>
      <c r="G46" s="3"/>
      <c r="H46" s="3"/>
      <c r="I46" s="6"/>
      <c r="J46" s="6"/>
      <c r="K46" s="6"/>
      <c r="L46" s="6"/>
      <c r="M46" s="6"/>
      <c r="N46" s="6"/>
      <c r="O46" s="6"/>
      <c r="P46" s="6"/>
      <c r="Q46" s="6"/>
      <c r="R46" s="6"/>
      <c r="S46" s="63"/>
      <c r="T46" s="37"/>
      <c r="U46" s="1"/>
      <c r="X46">
        <v>45</v>
      </c>
      <c r="Y46">
        <v>23</v>
      </c>
      <c r="Z46" s="1">
        <f t="shared" si="2"/>
        <v>1.4</v>
      </c>
      <c r="AA46">
        <v>85</v>
      </c>
      <c r="AB46">
        <v>3</v>
      </c>
    </row>
    <row r="47" spans="1:28" x14ac:dyDescent="0.35">
      <c r="A47" s="3"/>
      <c r="B47" s="3"/>
      <c r="C47" s="3"/>
      <c r="D47" s="3"/>
      <c r="E47" s="3"/>
      <c r="F47" s="3"/>
      <c r="G47" s="3"/>
      <c r="H47" s="3"/>
      <c r="I47" s="6"/>
      <c r="J47" s="6"/>
      <c r="K47" s="6"/>
      <c r="L47" s="6"/>
      <c r="M47" s="6"/>
      <c r="N47" s="6"/>
      <c r="O47" s="6"/>
      <c r="P47" s="6"/>
      <c r="Q47" s="6"/>
      <c r="R47" s="6"/>
      <c r="S47" s="63"/>
      <c r="T47" s="37"/>
      <c r="U47" s="1"/>
      <c r="X47">
        <v>46</v>
      </c>
      <c r="Y47">
        <v>22</v>
      </c>
      <c r="Z47" s="1">
        <f t="shared" si="2"/>
        <v>1.4</v>
      </c>
      <c r="AA47">
        <v>85</v>
      </c>
      <c r="AB47">
        <v>2</v>
      </c>
    </row>
    <row r="48" spans="1:28" x14ac:dyDescent="0.35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3"/>
      <c r="T48" s="37"/>
      <c r="U48" s="1"/>
      <c r="X48">
        <v>70</v>
      </c>
      <c r="Y48">
        <v>22</v>
      </c>
      <c r="Z48" s="1" t="e">
        <f>#REF!-0.1</f>
        <v>#REF!</v>
      </c>
      <c r="AA48">
        <v>85</v>
      </c>
      <c r="AB48">
        <v>2</v>
      </c>
    </row>
    <row r="49" spans="1:28" x14ac:dyDescent="0.35">
      <c r="A49" s="36"/>
      <c r="B49" s="36"/>
      <c r="C49" s="36"/>
      <c r="D49" s="61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62"/>
      <c r="S49" s="36"/>
      <c r="T49" s="37"/>
      <c r="U49" s="1"/>
      <c r="X49">
        <v>71</v>
      </c>
      <c r="Y49">
        <v>21</v>
      </c>
      <c r="Z49" s="1" t="e">
        <f>#REF!-0.1</f>
        <v>#REF!</v>
      </c>
      <c r="AA49">
        <v>85</v>
      </c>
      <c r="AB49">
        <v>3</v>
      </c>
    </row>
    <row r="50" spans="1:28" x14ac:dyDescent="0.35">
      <c r="D50" s="44"/>
      <c r="S50" s="17"/>
      <c r="T50" s="37"/>
      <c r="U50" s="1"/>
      <c r="X50">
        <v>72</v>
      </c>
      <c r="Y50">
        <v>20</v>
      </c>
      <c r="Z50" s="1" t="e">
        <f>#REF!-0.1</f>
        <v>#REF!</v>
      </c>
      <c r="AA50">
        <v>85</v>
      </c>
      <c r="AB50">
        <v>2</v>
      </c>
    </row>
    <row r="51" spans="1:28" x14ac:dyDescent="0.35">
      <c r="D51" s="44"/>
      <c r="R51" s="37"/>
      <c r="S51" s="17"/>
      <c r="T51" s="37"/>
      <c r="U51" s="1"/>
      <c r="X51">
        <v>73</v>
      </c>
      <c r="Y51">
        <v>25</v>
      </c>
      <c r="Z51" s="1">
        <v>1.5</v>
      </c>
      <c r="AA51">
        <v>95</v>
      </c>
      <c r="AB51">
        <v>3</v>
      </c>
    </row>
    <row r="52" spans="1:28" x14ac:dyDescent="0.35">
      <c r="D52" s="44"/>
      <c r="S52" s="17"/>
      <c r="T52" s="37"/>
      <c r="U52" s="1"/>
      <c r="X52">
        <v>74</v>
      </c>
      <c r="Y52">
        <v>24</v>
      </c>
      <c r="Z52" s="1">
        <v>1.5</v>
      </c>
      <c r="AA52">
        <v>95</v>
      </c>
      <c r="AB52">
        <v>2</v>
      </c>
    </row>
    <row r="53" spans="1:28" x14ac:dyDescent="0.35">
      <c r="A53" s="44"/>
      <c r="B53" s="44"/>
      <c r="C53" s="44"/>
      <c r="D53" s="44"/>
      <c r="R53" s="37"/>
      <c r="S53" s="17"/>
      <c r="T53" s="37"/>
      <c r="U53" s="1"/>
      <c r="X53">
        <v>75</v>
      </c>
      <c r="Y53">
        <v>23</v>
      </c>
      <c r="Z53" s="1">
        <v>1.5</v>
      </c>
      <c r="AA53">
        <v>95</v>
      </c>
      <c r="AB53">
        <v>3</v>
      </c>
    </row>
    <row r="54" spans="1:28" x14ac:dyDescent="0.35">
      <c r="R54" s="37"/>
      <c r="S54" s="17"/>
      <c r="T54" s="37"/>
      <c r="U54" s="1"/>
      <c r="X54">
        <v>76</v>
      </c>
      <c r="Y54">
        <v>22</v>
      </c>
      <c r="Z54" s="1">
        <v>1.5</v>
      </c>
      <c r="AA54">
        <v>95</v>
      </c>
      <c r="AB54">
        <v>2</v>
      </c>
    </row>
    <row r="55" spans="1:28" x14ac:dyDescent="0.35">
      <c r="S55" s="17"/>
      <c r="T55" s="37"/>
      <c r="U55" s="1"/>
      <c r="X55">
        <v>77</v>
      </c>
      <c r="Y55">
        <v>21</v>
      </c>
      <c r="Z55" s="1">
        <v>1.5</v>
      </c>
      <c r="AA55">
        <v>95</v>
      </c>
      <c r="AB55">
        <v>3</v>
      </c>
    </row>
    <row r="56" spans="1:28" x14ac:dyDescent="0.35">
      <c r="R56" s="37"/>
      <c r="S56" s="17"/>
      <c r="T56" s="37"/>
      <c r="U56" s="1"/>
      <c r="X56">
        <v>78</v>
      </c>
      <c r="Y56">
        <v>20</v>
      </c>
      <c r="Z56" s="1">
        <v>1.5</v>
      </c>
      <c r="AA56">
        <v>95</v>
      </c>
      <c r="AB56">
        <v>2</v>
      </c>
    </row>
    <row r="57" spans="1:28" x14ac:dyDescent="0.35">
      <c r="S57" s="17"/>
      <c r="T57" s="37"/>
      <c r="U57" s="1"/>
      <c r="X57">
        <v>79</v>
      </c>
      <c r="Y57">
        <v>25</v>
      </c>
      <c r="Z57" s="1">
        <f>Z51-0.1</f>
        <v>1.4</v>
      </c>
      <c r="AA57">
        <v>95</v>
      </c>
      <c r="AB57">
        <v>3</v>
      </c>
    </row>
    <row r="58" spans="1:28" x14ac:dyDescent="0.35">
      <c r="R58" s="37"/>
      <c r="S58" s="17"/>
      <c r="T58" s="37"/>
      <c r="U58" s="1"/>
      <c r="X58">
        <v>80</v>
      </c>
      <c r="Y58">
        <v>24</v>
      </c>
      <c r="Z58" s="1">
        <f t="shared" ref="Z58:Z76" si="3">Z52-0.1</f>
        <v>1.4</v>
      </c>
      <c r="AA58">
        <v>95</v>
      </c>
      <c r="AB58">
        <v>2</v>
      </c>
    </row>
    <row r="59" spans="1:28" x14ac:dyDescent="0.35">
      <c r="S59" s="17"/>
      <c r="T59" s="37"/>
      <c r="U59" s="1"/>
      <c r="X59">
        <v>81</v>
      </c>
      <c r="Y59">
        <v>23</v>
      </c>
      <c r="Z59" s="1">
        <f t="shared" si="3"/>
        <v>1.4</v>
      </c>
      <c r="AA59">
        <v>95</v>
      </c>
      <c r="AB59">
        <v>3</v>
      </c>
    </row>
    <row r="60" spans="1:28" x14ac:dyDescent="0.35">
      <c r="R60" s="37"/>
      <c r="S60" s="17"/>
      <c r="T60" s="37"/>
      <c r="U60" s="1"/>
      <c r="X60">
        <v>82</v>
      </c>
      <c r="Y60">
        <v>22</v>
      </c>
      <c r="Z60" s="1">
        <f t="shared" si="3"/>
        <v>1.4</v>
      </c>
      <c r="AA60">
        <v>95</v>
      </c>
      <c r="AB60">
        <v>2</v>
      </c>
    </row>
    <row r="61" spans="1:28" x14ac:dyDescent="0.35">
      <c r="S61" s="17"/>
      <c r="T61" s="37"/>
      <c r="U61" s="1"/>
      <c r="X61">
        <v>83</v>
      </c>
      <c r="Y61">
        <v>21</v>
      </c>
      <c r="Z61" s="1">
        <f t="shared" si="3"/>
        <v>1.4</v>
      </c>
      <c r="AA61">
        <v>95</v>
      </c>
      <c r="AB61">
        <v>3</v>
      </c>
    </row>
    <row r="62" spans="1:28" x14ac:dyDescent="0.35">
      <c r="R62" s="37"/>
      <c r="S62" s="17"/>
      <c r="T62" s="37"/>
      <c r="U62" s="1"/>
      <c r="X62">
        <v>84</v>
      </c>
      <c r="Y62">
        <v>20</v>
      </c>
      <c r="Z62" s="1">
        <f t="shared" si="3"/>
        <v>1.4</v>
      </c>
      <c r="AA62">
        <v>95</v>
      </c>
      <c r="AB62">
        <v>2</v>
      </c>
    </row>
    <row r="63" spans="1:28" x14ac:dyDescent="0.35">
      <c r="S63" s="17"/>
      <c r="T63" s="37"/>
      <c r="U63" s="1"/>
      <c r="X63">
        <v>85</v>
      </c>
      <c r="Y63">
        <v>25</v>
      </c>
      <c r="Z63" s="1">
        <f t="shared" si="3"/>
        <v>1.2999999999999998</v>
      </c>
      <c r="AA63">
        <v>95</v>
      </c>
      <c r="AB63">
        <v>3</v>
      </c>
    </row>
    <row r="64" spans="1:28" x14ac:dyDescent="0.35">
      <c r="R64" s="37"/>
      <c r="S64" s="17"/>
      <c r="T64" s="37"/>
      <c r="U64" s="1"/>
      <c r="X64">
        <v>86</v>
      </c>
      <c r="Y64">
        <v>24</v>
      </c>
      <c r="Z64" s="1">
        <f t="shared" si="3"/>
        <v>1.2999999999999998</v>
      </c>
      <c r="AA64">
        <v>95</v>
      </c>
      <c r="AB64">
        <v>2</v>
      </c>
    </row>
    <row r="65" spans="18:28" x14ac:dyDescent="0.35">
      <c r="R65" s="18"/>
      <c r="T65" s="37"/>
      <c r="X65">
        <v>87</v>
      </c>
      <c r="Y65">
        <v>23</v>
      </c>
      <c r="Z65" s="1">
        <f t="shared" si="3"/>
        <v>1.2999999999999998</v>
      </c>
      <c r="AA65">
        <v>95</v>
      </c>
      <c r="AB65">
        <v>3</v>
      </c>
    </row>
    <row r="66" spans="18:28" x14ac:dyDescent="0.35">
      <c r="R66" s="18"/>
      <c r="T66" s="37"/>
      <c r="X66">
        <v>88</v>
      </c>
      <c r="Y66">
        <v>22</v>
      </c>
      <c r="Z66" s="1">
        <f t="shared" si="3"/>
        <v>1.2999999999999998</v>
      </c>
      <c r="AA66">
        <v>95</v>
      </c>
      <c r="AB66">
        <v>2</v>
      </c>
    </row>
    <row r="67" spans="18:28" x14ac:dyDescent="0.35">
      <c r="R67" s="18"/>
      <c r="T67" s="37"/>
      <c r="X67">
        <v>89</v>
      </c>
      <c r="Y67">
        <v>21</v>
      </c>
      <c r="Z67" s="1">
        <f>Z61-0.1</f>
        <v>1.2999999999999998</v>
      </c>
      <c r="AA67">
        <v>95</v>
      </c>
      <c r="AB67">
        <v>3</v>
      </c>
    </row>
    <row r="68" spans="18:28" x14ac:dyDescent="0.35">
      <c r="R68" s="18"/>
      <c r="T68" s="37"/>
      <c r="X68">
        <v>90</v>
      </c>
      <c r="Y68">
        <v>20</v>
      </c>
      <c r="Z68" s="1">
        <f t="shared" si="3"/>
        <v>1.2999999999999998</v>
      </c>
      <c r="AA68">
        <v>95</v>
      </c>
      <c r="AB68">
        <v>2</v>
      </c>
    </row>
    <row r="69" spans="18:28" x14ac:dyDescent="0.35">
      <c r="R69" s="18"/>
      <c r="T69" s="37"/>
      <c r="X69">
        <v>91</v>
      </c>
      <c r="Y69">
        <v>25</v>
      </c>
      <c r="Z69" s="1">
        <f t="shared" si="3"/>
        <v>1.1999999999999997</v>
      </c>
      <c r="AA69">
        <v>95</v>
      </c>
      <c r="AB69">
        <v>3</v>
      </c>
    </row>
    <row r="70" spans="18:28" x14ac:dyDescent="0.35">
      <c r="R70" s="18"/>
      <c r="T70" s="18"/>
      <c r="X70">
        <v>92</v>
      </c>
      <c r="Y70">
        <v>24</v>
      </c>
      <c r="Z70" s="1">
        <f t="shared" si="3"/>
        <v>1.1999999999999997</v>
      </c>
      <c r="AA70">
        <v>95</v>
      </c>
      <c r="AB70">
        <v>2</v>
      </c>
    </row>
    <row r="71" spans="18:28" x14ac:dyDescent="0.35">
      <c r="R71" s="18"/>
      <c r="T71" s="18"/>
      <c r="X71">
        <v>93</v>
      </c>
      <c r="Y71">
        <v>23</v>
      </c>
      <c r="Z71" s="1">
        <f t="shared" si="3"/>
        <v>1.1999999999999997</v>
      </c>
      <c r="AA71">
        <v>95</v>
      </c>
      <c r="AB71">
        <v>3</v>
      </c>
    </row>
    <row r="72" spans="18:28" x14ac:dyDescent="0.35">
      <c r="R72" s="18"/>
      <c r="T72" s="18"/>
      <c r="X72">
        <v>94</v>
      </c>
      <c r="Y72">
        <v>22</v>
      </c>
      <c r="Z72" s="1">
        <f t="shared" si="3"/>
        <v>1.1999999999999997</v>
      </c>
      <c r="AA72">
        <v>95</v>
      </c>
      <c r="AB72">
        <v>2</v>
      </c>
    </row>
    <row r="73" spans="18:28" x14ac:dyDescent="0.35">
      <c r="R73" s="18"/>
      <c r="T73" s="18"/>
      <c r="X73">
        <v>95</v>
      </c>
      <c r="Y73">
        <v>21</v>
      </c>
      <c r="Z73" s="1">
        <f>Z67-0.1</f>
        <v>1.1999999999999997</v>
      </c>
      <c r="AA73">
        <v>95</v>
      </c>
      <c r="AB73">
        <v>3</v>
      </c>
    </row>
    <row r="74" spans="18:28" x14ac:dyDescent="0.35">
      <c r="R74" s="18"/>
      <c r="T74" s="18"/>
      <c r="X74">
        <v>96</v>
      </c>
      <c r="Y74">
        <v>20</v>
      </c>
      <c r="Z74" s="1">
        <f t="shared" si="3"/>
        <v>1.1999999999999997</v>
      </c>
      <c r="AA74">
        <v>95</v>
      </c>
      <c r="AB74">
        <v>2</v>
      </c>
    </row>
    <row r="75" spans="18:28" x14ac:dyDescent="0.35">
      <c r="R75" s="18"/>
      <c r="T75" s="18"/>
      <c r="X75">
        <v>97</v>
      </c>
      <c r="Y75">
        <v>25</v>
      </c>
      <c r="Z75" s="1">
        <f t="shared" si="3"/>
        <v>1.0999999999999996</v>
      </c>
      <c r="AA75">
        <v>95</v>
      </c>
      <c r="AB75">
        <v>3</v>
      </c>
    </row>
    <row r="76" spans="18:28" x14ac:dyDescent="0.35">
      <c r="R76" s="18"/>
      <c r="T76" s="18"/>
      <c r="X76">
        <v>98</v>
      </c>
      <c r="Y76">
        <v>24</v>
      </c>
      <c r="Z76" s="1">
        <f t="shared" si="3"/>
        <v>1.0999999999999996</v>
      </c>
      <c r="AA76">
        <v>95</v>
      </c>
      <c r="AB76">
        <v>2</v>
      </c>
    </row>
    <row r="77" spans="18:28" x14ac:dyDescent="0.35">
      <c r="R77" s="18"/>
      <c r="T77" s="18"/>
      <c r="X77">
        <v>99</v>
      </c>
      <c r="Y77">
        <v>23</v>
      </c>
      <c r="Z77" s="1">
        <f>Z71-0.1</f>
        <v>1.0999999999999996</v>
      </c>
      <c r="AA77">
        <v>95</v>
      </c>
      <c r="AB77">
        <v>3</v>
      </c>
    </row>
    <row r="78" spans="18:28" x14ac:dyDescent="0.35">
      <c r="R78" s="18"/>
      <c r="T78" s="18"/>
      <c r="X78">
        <v>100</v>
      </c>
      <c r="Y78">
        <v>22</v>
      </c>
      <c r="Z78" s="1">
        <f t="shared" ref="Z78:Z83" si="4">Z72-0.1</f>
        <v>1.0999999999999996</v>
      </c>
      <c r="AA78">
        <v>85</v>
      </c>
      <c r="AB78">
        <v>2</v>
      </c>
    </row>
    <row r="79" spans="18:28" x14ac:dyDescent="0.35">
      <c r="R79" s="18"/>
      <c r="T79" s="18"/>
      <c r="X79">
        <v>101</v>
      </c>
      <c r="Y79">
        <v>21</v>
      </c>
      <c r="Z79" s="1">
        <f t="shared" si="4"/>
        <v>1.0999999999999996</v>
      </c>
      <c r="AA79">
        <v>90</v>
      </c>
      <c r="AB79">
        <v>3</v>
      </c>
    </row>
    <row r="80" spans="18:28" x14ac:dyDescent="0.35">
      <c r="R80" s="18"/>
      <c r="T80" s="18"/>
      <c r="X80">
        <v>102</v>
      </c>
      <c r="Y80">
        <v>20</v>
      </c>
      <c r="Z80" s="1">
        <f t="shared" si="4"/>
        <v>1.0999999999999996</v>
      </c>
      <c r="AA80">
        <v>95</v>
      </c>
      <c r="AB80">
        <v>2</v>
      </c>
    </row>
    <row r="81" spans="18:28" x14ac:dyDescent="0.35">
      <c r="R81" s="18"/>
      <c r="T81" s="18"/>
      <c r="X81">
        <v>103</v>
      </c>
      <c r="Y81">
        <v>25</v>
      </c>
      <c r="Z81" s="1">
        <f>Z75-0.1</f>
        <v>0.99999999999999967</v>
      </c>
      <c r="AA81">
        <v>85</v>
      </c>
      <c r="AB81">
        <v>3</v>
      </c>
    </row>
    <row r="82" spans="18:28" x14ac:dyDescent="0.35">
      <c r="R82" s="18"/>
      <c r="T82" s="18"/>
      <c r="X82">
        <v>104</v>
      </c>
      <c r="Y82">
        <v>24</v>
      </c>
      <c r="Z82" s="1">
        <f t="shared" si="4"/>
        <v>0.99999999999999967</v>
      </c>
      <c r="AA82">
        <v>90</v>
      </c>
      <c r="AB82">
        <v>2</v>
      </c>
    </row>
    <row r="83" spans="18:28" x14ac:dyDescent="0.35">
      <c r="R83" s="18"/>
      <c r="T83" s="18"/>
      <c r="X83">
        <v>105</v>
      </c>
      <c r="Y83">
        <v>23</v>
      </c>
      <c r="Z83" s="1">
        <f t="shared" si="4"/>
        <v>0.99999999999999967</v>
      </c>
      <c r="AA83">
        <v>95</v>
      </c>
      <c r="AB83">
        <v>3</v>
      </c>
    </row>
    <row r="84" spans="18:28" x14ac:dyDescent="0.35">
      <c r="R84" s="18"/>
      <c r="T84" s="18"/>
      <c r="X84">
        <v>106</v>
      </c>
      <c r="Y84">
        <v>22</v>
      </c>
      <c r="Z84" s="1">
        <v>1.5</v>
      </c>
      <c r="AA84">
        <v>85</v>
      </c>
      <c r="AB84">
        <v>2</v>
      </c>
    </row>
    <row r="85" spans="18:28" x14ac:dyDescent="0.35">
      <c r="R85" s="18"/>
      <c r="T85" s="18"/>
      <c r="X85">
        <v>107</v>
      </c>
      <c r="Y85">
        <v>21</v>
      </c>
      <c r="Z85" s="1">
        <v>1.5</v>
      </c>
      <c r="AA85">
        <v>90</v>
      </c>
      <c r="AB85">
        <v>3</v>
      </c>
    </row>
    <row r="86" spans="18:28" x14ac:dyDescent="0.35">
      <c r="R86" s="18"/>
      <c r="T86" s="18"/>
      <c r="X86">
        <v>108</v>
      </c>
      <c r="Y86">
        <v>20</v>
      </c>
      <c r="Z86" s="1">
        <v>1.5</v>
      </c>
      <c r="AA86">
        <v>95</v>
      </c>
      <c r="AB86">
        <v>2</v>
      </c>
    </row>
    <row r="87" spans="18:28" x14ac:dyDescent="0.35">
      <c r="R87" s="18"/>
      <c r="T87" s="18"/>
      <c r="X87">
        <v>109</v>
      </c>
      <c r="Y87">
        <v>25</v>
      </c>
      <c r="Z87" s="1">
        <v>1.5</v>
      </c>
      <c r="AA87">
        <v>85</v>
      </c>
      <c r="AB87">
        <v>3</v>
      </c>
    </row>
    <row r="88" spans="18:28" x14ac:dyDescent="0.35">
      <c r="R88" s="18"/>
      <c r="T88" s="18"/>
      <c r="X88">
        <v>110</v>
      </c>
      <c r="Y88">
        <v>24</v>
      </c>
      <c r="Z88" s="1">
        <v>1.5</v>
      </c>
      <c r="AA88">
        <v>90</v>
      </c>
      <c r="AB88">
        <v>2</v>
      </c>
    </row>
    <row r="89" spans="18:28" x14ac:dyDescent="0.35">
      <c r="R89" s="18"/>
      <c r="T89" s="18"/>
      <c r="X89">
        <v>111</v>
      </c>
      <c r="Y89">
        <v>23</v>
      </c>
      <c r="Z89" s="1">
        <v>1.5</v>
      </c>
      <c r="AA89">
        <v>95</v>
      </c>
      <c r="AB89">
        <v>3</v>
      </c>
    </row>
    <row r="90" spans="18:28" x14ac:dyDescent="0.35">
      <c r="R90" s="18"/>
      <c r="T90" s="18"/>
      <c r="X90">
        <v>112</v>
      </c>
      <c r="Y90">
        <v>22</v>
      </c>
      <c r="Z90" s="1">
        <f>Z84-0.1</f>
        <v>1.4</v>
      </c>
      <c r="AA90">
        <v>85</v>
      </c>
      <c r="AB90">
        <v>2</v>
      </c>
    </row>
    <row r="91" spans="18:28" x14ac:dyDescent="0.35">
      <c r="R91" s="18"/>
      <c r="T91" s="18"/>
      <c r="X91">
        <v>113</v>
      </c>
      <c r="Y91">
        <v>21</v>
      </c>
      <c r="Z91" s="1">
        <f t="shared" ref="Z91:Z117" si="5">Z85-0.1</f>
        <v>1.4</v>
      </c>
      <c r="AA91">
        <v>90</v>
      </c>
      <c r="AB91">
        <v>3</v>
      </c>
    </row>
    <row r="92" spans="18:28" x14ac:dyDescent="0.35">
      <c r="R92" s="18"/>
      <c r="T92" s="18"/>
      <c r="X92">
        <v>114</v>
      </c>
      <c r="Y92">
        <v>20</v>
      </c>
      <c r="Z92" s="1">
        <f t="shared" si="5"/>
        <v>1.4</v>
      </c>
      <c r="AA92">
        <v>95</v>
      </c>
      <c r="AB92">
        <v>2</v>
      </c>
    </row>
    <row r="93" spans="18:28" x14ac:dyDescent="0.35">
      <c r="R93" s="18"/>
      <c r="T93" s="18"/>
      <c r="X93">
        <v>115</v>
      </c>
      <c r="Y93">
        <v>25</v>
      </c>
      <c r="Z93" s="1">
        <f t="shared" si="5"/>
        <v>1.4</v>
      </c>
      <c r="AA93">
        <v>85</v>
      </c>
      <c r="AB93">
        <v>3</v>
      </c>
    </row>
    <row r="94" spans="18:28" x14ac:dyDescent="0.35">
      <c r="R94" s="18"/>
      <c r="T94" s="18"/>
      <c r="X94">
        <v>116</v>
      </c>
      <c r="Y94">
        <v>24</v>
      </c>
      <c r="Z94" s="1">
        <f t="shared" si="5"/>
        <v>1.4</v>
      </c>
      <c r="AA94">
        <v>90</v>
      </c>
      <c r="AB94">
        <v>2</v>
      </c>
    </row>
    <row r="95" spans="18:28" x14ac:dyDescent="0.35">
      <c r="R95" s="18"/>
      <c r="T95" s="18"/>
      <c r="X95">
        <v>117</v>
      </c>
      <c r="Y95">
        <v>23</v>
      </c>
      <c r="Z95" s="1">
        <f t="shared" si="5"/>
        <v>1.4</v>
      </c>
      <c r="AA95">
        <v>95</v>
      </c>
      <c r="AB95">
        <v>3</v>
      </c>
    </row>
    <row r="96" spans="18:28" x14ac:dyDescent="0.35">
      <c r="R96" s="18"/>
      <c r="T96" s="18"/>
      <c r="X96">
        <v>118</v>
      </c>
      <c r="Y96">
        <v>22</v>
      </c>
      <c r="Z96" s="1">
        <f t="shared" si="5"/>
        <v>1.2999999999999998</v>
      </c>
      <c r="AA96">
        <v>85</v>
      </c>
      <c r="AB96">
        <v>2</v>
      </c>
    </row>
    <row r="97" spans="18:28" x14ac:dyDescent="0.35">
      <c r="R97" s="18"/>
      <c r="T97" s="18"/>
      <c r="X97">
        <v>119</v>
      </c>
      <c r="Y97">
        <v>21</v>
      </c>
      <c r="Z97" s="1">
        <f t="shared" si="5"/>
        <v>1.2999999999999998</v>
      </c>
      <c r="AA97">
        <v>90</v>
      </c>
      <c r="AB97">
        <v>3</v>
      </c>
    </row>
    <row r="98" spans="18:28" x14ac:dyDescent="0.35">
      <c r="R98" s="18"/>
      <c r="T98" s="18"/>
      <c r="X98">
        <v>120</v>
      </c>
      <c r="Y98">
        <v>20</v>
      </c>
      <c r="Z98" s="1">
        <f t="shared" si="5"/>
        <v>1.2999999999999998</v>
      </c>
      <c r="AA98">
        <v>95</v>
      </c>
      <c r="AB98">
        <v>2</v>
      </c>
    </row>
    <row r="99" spans="18:28" x14ac:dyDescent="0.35">
      <c r="R99" s="18"/>
      <c r="T99" s="18"/>
      <c r="X99">
        <v>121</v>
      </c>
      <c r="Y99">
        <v>25</v>
      </c>
      <c r="Z99" s="1">
        <f t="shared" si="5"/>
        <v>1.2999999999999998</v>
      </c>
      <c r="AA99">
        <v>85</v>
      </c>
      <c r="AB99">
        <v>3</v>
      </c>
    </row>
    <row r="100" spans="18:28" x14ac:dyDescent="0.35">
      <c r="R100" s="18"/>
      <c r="T100" s="18"/>
      <c r="X100">
        <v>122</v>
      </c>
      <c r="Y100">
        <v>24</v>
      </c>
      <c r="Z100" s="1">
        <f>Z94-0.1</f>
        <v>1.2999999999999998</v>
      </c>
      <c r="AA100">
        <v>90</v>
      </c>
      <c r="AB100">
        <v>2</v>
      </c>
    </row>
    <row r="101" spans="18:28" x14ac:dyDescent="0.35">
      <c r="R101" s="18"/>
      <c r="T101" s="18"/>
      <c r="X101">
        <v>123</v>
      </c>
      <c r="Y101">
        <v>23</v>
      </c>
      <c r="Z101" s="1">
        <f t="shared" si="5"/>
        <v>1.2999999999999998</v>
      </c>
      <c r="AA101">
        <v>95</v>
      </c>
      <c r="AB101">
        <v>3</v>
      </c>
    </row>
    <row r="102" spans="18:28" x14ac:dyDescent="0.35">
      <c r="R102" s="18"/>
      <c r="T102" s="18"/>
      <c r="X102">
        <v>124</v>
      </c>
      <c r="Y102">
        <v>22</v>
      </c>
      <c r="Z102" s="1">
        <f t="shared" si="5"/>
        <v>1.1999999999999997</v>
      </c>
      <c r="AA102">
        <v>85</v>
      </c>
      <c r="AB102">
        <v>2</v>
      </c>
    </row>
    <row r="103" spans="18:28" x14ac:dyDescent="0.35">
      <c r="R103" s="18"/>
      <c r="T103" s="18"/>
      <c r="X103">
        <v>125</v>
      </c>
      <c r="Y103">
        <v>21</v>
      </c>
      <c r="Z103" s="1">
        <f t="shared" si="5"/>
        <v>1.1999999999999997</v>
      </c>
      <c r="AA103">
        <v>90</v>
      </c>
      <c r="AB103">
        <v>3</v>
      </c>
    </row>
    <row r="104" spans="18:28" x14ac:dyDescent="0.35">
      <c r="R104" s="18"/>
      <c r="T104" s="18"/>
      <c r="X104">
        <v>126</v>
      </c>
      <c r="Y104">
        <v>20</v>
      </c>
      <c r="Z104" s="1">
        <f t="shared" si="5"/>
        <v>1.1999999999999997</v>
      </c>
      <c r="AA104">
        <v>95</v>
      </c>
      <c r="AB104">
        <v>2</v>
      </c>
    </row>
    <row r="105" spans="18:28" x14ac:dyDescent="0.35">
      <c r="R105" s="18"/>
      <c r="T105" s="18"/>
      <c r="X105">
        <v>127</v>
      </c>
      <c r="Y105">
        <v>21</v>
      </c>
      <c r="Z105" s="1">
        <f t="shared" si="5"/>
        <v>1.1999999999999997</v>
      </c>
      <c r="AA105">
        <v>85</v>
      </c>
      <c r="AB105">
        <v>3</v>
      </c>
    </row>
    <row r="106" spans="18:28" x14ac:dyDescent="0.35">
      <c r="R106" s="18"/>
      <c r="T106" s="18"/>
      <c r="X106">
        <v>128</v>
      </c>
      <c r="Y106">
        <v>22</v>
      </c>
      <c r="Z106" s="1">
        <f t="shared" si="5"/>
        <v>1.1999999999999997</v>
      </c>
      <c r="AA106">
        <v>90</v>
      </c>
      <c r="AB106">
        <v>2</v>
      </c>
    </row>
    <row r="107" spans="18:28" x14ac:dyDescent="0.35">
      <c r="R107" s="16"/>
      <c r="X107">
        <v>129</v>
      </c>
      <c r="Y107">
        <v>23</v>
      </c>
      <c r="Z107" s="1">
        <f t="shared" si="5"/>
        <v>1.1999999999999997</v>
      </c>
      <c r="AA107">
        <v>95</v>
      </c>
      <c r="AB107">
        <v>3</v>
      </c>
    </row>
    <row r="108" spans="18:28" x14ac:dyDescent="0.35">
      <c r="R108" s="16"/>
      <c r="X108">
        <v>130</v>
      </c>
      <c r="Y108">
        <v>24</v>
      </c>
      <c r="Z108" s="1">
        <f t="shared" si="5"/>
        <v>1.0999999999999996</v>
      </c>
      <c r="AA108">
        <v>85</v>
      </c>
      <c r="AB108">
        <v>2</v>
      </c>
    </row>
    <row r="109" spans="18:28" x14ac:dyDescent="0.35">
      <c r="R109" s="16"/>
      <c r="X109">
        <v>131</v>
      </c>
      <c r="Y109">
        <v>25</v>
      </c>
      <c r="Z109" s="1">
        <f t="shared" si="5"/>
        <v>1.0999999999999996</v>
      </c>
      <c r="AA109">
        <v>90</v>
      </c>
      <c r="AB109">
        <v>3</v>
      </c>
    </row>
    <row r="110" spans="18:28" x14ac:dyDescent="0.35">
      <c r="X110">
        <v>132</v>
      </c>
      <c r="Y110">
        <v>24</v>
      </c>
      <c r="Z110" s="1">
        <f t="shared" si="5"/>
        <v>1.0999999999999996</v>
      </c>
      <c r="AA110">
        <v>95</v>
      </c>
      <c r="AB110">
        <v>2</v>
      </c>
    </row>
    <row r="111" spans="18:28" x14ac:dyDescent="0.35">
      <c r="X111">
        <v>133</v>
      </c>
      <c r="Y111">
        <v>23</v>
      </c>
      <c r="Z111" s="1">
        <f t="shared" si="5"/>
        <v>1.0999999999999996</v>
      </c>
      <c r="AA111">
        <v>85</v>
      </c>
      <c r="AB111">
        <v>3</v>
      </c>
    </row>
    <row r="112" spans="18:28" x14ac:dyDescent="0.35">
      <c r="X112">
        <v>134</v>
      </c>
      <c r="Y112">
        <v>22</v>
      </c>
      <c r="Z112" s="1">
        <f>Z106-0.1</f>
        <v>1.0999999999999996</v>
      </c>
      <c r="AA112">
        <v>90</v>
      </c>
      <c r="AB112">
        <v>2</v>
      </c>
    </row>
    <row r="113" spans="24:28" x14ac:dyDescent="0.35">
      <c r="X113">
        <v>135</v>
      </c>
      <c r="Y113">
        <v>21</v>
      </c>
      <c r="Z113" s="1">
        <f t="shared" si="5"/>
        <v>1.0999999999999996</v>
      </c>
      <c r="AA113">
        <v>95</v>
      </c>
      <c r="AB113">
        <v>3</v>
      </c>
    </row>
    <row r="114" spans="24:28" x14ac:dyDescent="0.35">
      <c r="X114">
        <v>136</v>
      </c>
      <c r="Y114">
        <v>20</v>
      </c>
      <c r="Z114" s="1">
        <f t="shared" si="5"/>
        <v>0.99999999999999967</v>
      </c>
      <c r="AA114">
        <v>85</v>
      </c>
      <c r="AB114">
        <v>2</v>
      </c>
    </row>
    <row r="115" spans="24:28" x14ac:dyDescent="0.35">
      <c r="X115">
        <v>137</v>
      </c>
      <c r="Y115">
        <v>21</v>
      </c>
      <c r="Z115" s="1">
        <f t="shared" si="5"/>
        <v>0.99999999999999967</v>
      </c>
      <c r="AA115">
        <v>90</v>
      </c>
      <c r="AB115">
        <v>3</v>
      </c>
    </row>
    <row r="116" spans="24:28" x14ac:dyDescent="0.35">
      <c r="X116">
        <v>138</v>
      </c>
      <c r="Y116">
        <v>22</v>
      </c>
      <c r="Z116" s="1">
        <f t="shared" si="5"/>
        <v>0.99999999999999967</v>
      </c>
      <c r="AA116">
        <v>95</v>
      </c>
      <c r="AB116">
        <v>2</v>
      </c>
    </row>
    <row r="117" spans="24:28" x14ac:dyDescent="0.35">
      <c r="X117">
        <v>139</v>
      </c>
      <c r="Y117">
        <v>23</v>
      </c>
      <c r="Z117" s="1">
        <f t="shared" si="5"/>
        <v>0.99999999999999967</v>
      </c>
      <c r="AA117">
        <v>85</v>
      </c>
      <c r="AB117">
        <v>3</v>
      </c>
    </row>
    <row r="118" spans="24:28" x14ac:dyDescent="0.35">
      <c r="X118">
        <v>140</v>
      </c>
      <c r="Y118">
        <v>24</v>
      </c>
      <c r="Z118" s="1">
        <f>Z112-0.1</f>
        <v>0.99999999999999967</v>
      </c>
      <c r="AA118">
        <v>90</v>
      </c>
      <c r="AB118">
        <v>2</v>
      </c>
    </row>
    <row r="119" spans="24:28" x14ac:dyDescent="0.35">
      <c r="X119">
        <v>141</v>
      </c>
      <c r="Y119">
        <v>25</v>
      </c>
      <c r="Z119" s="1">
        <f>Z113-0.1</f>
        <v>0.99999999999999967</v>
      </c>
      <c r="AA119">
        <v>95</v>
      </c>
      <c r="AB119">
        <v>3</v>
      </c>
    </row>
    <row r="120" spans="24:28" x14ac:dyDescent="0.35">
      <c r="X120">
        <v>142</v>
      </c>
      <c r="Y120">
        <v>24</v>
      </c>
      <c r="Z120" s="1">
        <f>Z114+0.1</f>
        <v>1.0999999999999996</v>
      </c>
      <c r="AA120">
        <v>85</v>
      </c>
      <c r="AB120">
        <v>2</v>
      </c>
    </row>
    <row r="121" spans="24:28" x14ac:dyDescent="0.35">
      <c r="X121">
        <v>143</v>
      </c>
      <c r="Y121">
        <v>23</v>
      </c>
      <c r="Z121" s="1">
        <f t="shared" ref="Z121:Z128" si="6">Z115+0.1</f>
        <v>1.0999999999999996</v>
      </c>
      <c r="AA121">
        <v>90</v>
      </c>
      <c r="AB121">
        <v>3</v>
      </c>
    </row>
    <row r="122" spans="24:28" x14ac:dyDescent="0.35">
      <c r="X122">
        <v>144</v>
      </c>
      <c r="Y122">
        <v>22</v>
      </c>
      <c r="Z122" s="1">
        <f t="shared" si="6"/>
        <v>1.0999999999999996</v>
      </c>
      <c r="AA122">
        <v>95</v>
      </c>
      <c r="AB122">
        <v>2</v>
      </c>
    </row>
    <row r="123" spans="24:28" x14ac:dyDescent="0.35">
      <c r="X123">
        <v>145</v>
      </c>
      <c r="Y123">
        <v>21</v>
      </c>
      <c r="Z123" s="1">
        <f t="shared" si="6"/>
        <v>1.0999999999999996</v>
      </c>
      <c r="AA123">
        <v>85</v>
      </c>
      <c r="AB123">
        <v>3</v>
      </c>
    </row>
    <row r="124" spans="24:28" x14ac:dyDescent="0.35">
      <c r="X124">
        <v>146</v>
      </c>
      <c r="Y124">
        <v>20</v>
      </c>
      <c r="Z124" s="1">
        <f t="shared" si="6"/>
        <v>1.0999999999999996</v>
      </c>
      <c r="AA124">
        <v>90</v>
      </c>
      <c r="AB124">
        <v>2</v>
      </c>
    </row>
    <row r="125" spans="24:28" x14ac:dyDescent="0.35">
      <c r="X125">
        <v>147</v>
      </c>
      <c r="Y125">
        <v>21</v>
      </c>
      <c r="Z125" s="1">
        <f t="shared" si="6"/>
        <v>1.0999999999999996</v>
      </c>
      <c r="AA125">
        <v>95</v>
      </c>
      <c r="AB125">
        <v>3</v>
      </c>
    </row>
    <row r="126" spans="24:28" x14ac:dyDescent="0.35">
      <c r="X126">
        <v>148</v>
      </c>
      <c r="Y126">
        <v>22</v>
      </c>
      <c r="Z126" s="1">
        <f>Z120+0.1</f>
        <v>1.1999999999999997</v>
      </c>
      <c r="AA126">
        <v>85</v>
      </c>
      <c r="AB126">
        <v>2</v>
      </c>
    </row>
    <row r="127" spans="24:28" x14ac:dyDescent="0.35">
      <c r="X127">
        <v>149</v>
      </c>
      <c r="Y127">
        <v>23</v>
      </c>
      <c r="Z127" s="1">
        <f t="shared" si="6"/>
        <v>1.1999999999999997</v>
      </c>
      <c r="AA127">
        <v>90</v>
      </c>
      <c r="AB127">
        <v>3</v>
      </c>
    </row>
    <row r="128" spans="24:28" x14ac:dyDescent="0.35">
      <c r="X128">
        <v>150</v>
      </c>
      <c r="Y128">
        <v>24</v>
      </c>
      <c r="Z128" s="1">
        <f t="shared" si="6"/>
        <v>1.1999999999999997</v>
      </c>
      <c r="AA128">
        <v>95</v>
      </c>
      <c r="AB128">
        <v>2</v>
      </c>
    </row>
    <row r="129" spans="26:26" x14ac:dyDescent="0.35">
      <c r="Z129" s="1"/>
    </row>
    <row r="130" spans="26:26" x14ac:dyDescent="0.35">
      <c r="Z130" s="1"/>
    </row>
    <row r="131" spans="26:26" x14ac:dyDescent="0.35">
      <c r="Z131" s="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costas</dc:creator>
  <cp:lastModifiedBy>user</cp:lastModifiedBy>
  <dcterms:created xsi:type="dcterms:W3CDTF">2011-11-26T20:25:55Z</dcterms:created>
  <dcterms:modified xsi:type="dcterms:W3CDTF">2024-05-28T12:58:35Z</dcterms:modified>
</cp:coreProperties>
</file>