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jtsou\Dropbox\DUTh\DUTh - MSc Hydrometeorological risks\Lectures\Extremes\data_excels_extremes\"/>
    </mc:Choice>
  </mc:AlternateContent>
  <xr:revisionPtr revIDLastSave="0" documentId="13_ncr:1_{AA8DD299-422A-405A-895E-80DECC6E88F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_Class_1" sheetId="3" r:id="rId1"/>
    <sheet name="In_Class_2" sheetId="2" r:id="rId2"/>
    <sheet name="In_Class_2_Solved_and_GEV" sheetId="1" r:id="rId3"/>
  </sheets>
  <externalReferences>
    <externalReference r:id="rId4"/>
  </externalReferences>
  <definedNames>
    <definedName name="lambda" localSheetId="0">In_Class_1!$M$1</definedName>
    <definedName name="lambda">In_Class_2_Solved_and_GEV!$E$1</definedName>
    <definedName name="psi" localSheetId="0">In_Class_1!$M$2</definedName>
    <definedName name="psi">In_Class_2_Solved_and_GEV!$E$2</definedName>
    <definedName name="solver_adj" localSheetId="2" hidden="1">In_Class_2_Solved_and_GEV!$M$1:$M$3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In_Class_2_Solved_and_GEV!$M$4</definedName>
    <definedName name="solver_pre" localSheetId="2" hidden="1">0.000001</definedName>
    <definedName name="solver_rbv" localSheetId="2" hidden="1">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2</definedName>
    <definedName name="solver_val" localSheetId="2" hidden="1">0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3" l="1"/>
  <c r="F15" i="3"/>
  <c r="F14" i="3"/>
  <c r="F13" i="3"/>
  <c r="F12" i="3"/>
  <c r="G11" i="3"/>
  <c r="F11" i="3"/>
  <c r="F10" i="3"/>
  <c r="M9" i="3"/>
  <c r="F9" i="3"/>
  <c r="M8" i="3"/>
  <c r="M2" i="3" s="1"/>
  <c r="F8" i="3"/>
  <c r="F7" i="3"/>
  <c r="G6" i="3"/>
  <c r="F6" i="3"/>
  <c r="K5" i="3"/>
  <c r="G15" i="3" s="1"/>
  <c r="F5" i="3"/>
  <c r="G4" i="3"/>
  <c r="F4" i="3"/>
  <c r="F3" i="3"/>
  <c r="G2" i="3"/>
  <c r="F2" i="3"/>
  <c r="M1" i="3"/>
  <c r="J12" i="2"/>
  <c r="J13" i="2" s="1"/>
  <c r="L7" i="2"/>
  <c r="L8" i="2"/>
  <c r="L6" i="2"/>
  <c r="K7" i="2"/>
  <c r="K8" i="2"/>
  <c r="K6" i="2"/>
  <c r="G2" i="2"/>
  <c r="G1" i="2"/>
  <c r="B2" i="2"/>
  <c r="B1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5" i="2"/>
  <c r="X48" i="1"/>
  <c r="Y48" i="1" s="1"/>
  <c r="Z48" i="1" s="1"/>
  <c r="X49" i="1"/>
  <c r="Y49" i="1" s="1"/>
  <c r="Z49" i="1" s="1"/>
  <c r="Z47" i="1"/>
  <c r="Y47" i="1"/>
  <c r="X47" i="1"/>
  <c r="B2" i="1"/>
  <c r="E2" i="1" s="1"/>
  <c r="AH13" i="1"/>
  <c r="AH12" i="1"/>
  <c r="AG13" i="1"/>
  <c r="AG14" i="1"/>
  <c r="AH14" i="1" s="1"/>
  <c r="AG12" i="1"/>
  <c r="E1" i="1"/>
  <c r="B3" i="1"/>
  <c r="H8" i="1"/>
  <c r="P31" i="1"/>
  <c r="R31" i="1" s="1"/>
  <c r="P30" i="1"/>
  <c r="R30" i="1" s="1"/>
  <c r="R29" i="1"/>
  <c r="P29" i="1"/>
  <c r="P28" i="1"/>
  <c r="R28" i="1" s="1"/>
  <c r="R27" i="1"/>
  <c r="P27" i="1"/>
  <c r="P26" i="1"/>
  <c r="R26" i="1" s="1"/>
  <c r="P25" i="1"/>
  <c r="R25" i="1" s="1"/>
  <c r="H25" i="1"/>
  <c r="D25" i="1"/>
  <c r="E25" i="1" s="1"/>
  <c r="F25" i="1" s="1"/>
  <c r="C25" i="1"/>
  <c r="P24" i="1"/>
  <c r="R24" i="1" s="1"/>
  <c r="H24" i="1"/>
  <c r="C24" i="1"/>
  <c r="D24" i="1" s="1"/>
  <c r="E24" i="1" s="1"/>
  <c r="F24" i="1" s="1"/>
  <c r="P23" i="1"/>
  <c r="R23" i="1" s="1"/>
  <c r="H23" i="1"/>
  <c r="C23" i="1"/>
  <c r="D23" i="1" s="1"/>
  <c r="E23" i="1" s="1"/>
  <c r="F23" i="1" s="1"/>
  <c r="P22" i="1"/>
  <c r="R22" i="1" s="1"/>
  <c r="H22" i="1"/>
  <c r="C22" i="1"/>
  <c r="D22" i="1" s="1"/>
  <c r="E22" i="1" s="1"/>
  <c r="F22" i="1" s="1"/>
  <c r="P21" i="1"/>
  <c r="R21" i="1" s="1"/>
  <c r="H21" i="1"/>
  <c r="C21" i="1"/>
  <c r="D21" i="1" s="1"/>
  <c r="E21" i="1" s="1"/>
  <c r="F21" i="1" s="1"/>
  <c r="P20" i="1"/>
  <c r="R20" i="1" s="1"/>
  <c r="H20" i="1"/>
  <c r="C20" i="1"/>
  <c r="D20" i="1" s="1"/>
  <c r="E20" i="1" s="1"/>
  <c r="F20" i="1" s="1"/>
  <c r="P19" i="1"/>
  <c r="R19" i="1" s="1"/>
  <c r="H19" i="1"/>
  <c r="C19" i="1"/>
  <c r="D19" i="1" s="1"/>
  <c r="E19" i="1" s="1"/>
  <c r="F19" i="1" s="1"/>
  <c r="P18" i="1"/>
  <c r="R18" i="1" s="1"/>
  <c r="H18" i="1"/>
  <c r="C18" i="1"/>
  <c r="D18" i="1" s="1"/>
  <c r="E18" i="1" s="1"/>
  <c r="F18" i="1" s="1"/>
  <c r="P17" i="1"/>
  <c r="R17" i="1" s="1"/>
  <c r="H17" i="1"/>
  <c r="C17" i="1"/>
  <c r="D17" i="1" s="1"/>
  <c r="E17" i="1" s="1"/>
  <c r="F17" i="1" s="1"/>
  <c r="P16" i="1"/>
  <c r="R16" i="1" s="1"/>
  <c r="H16" i="1"/>
  <c r="C16" i="1"/>
  <c r="D16" i="1" s="1"/>
  <c r="E16" i="1" s="1"/>
  <c r="F16" i="1" s="1"/>
  <c r="P15" i="1"/>
  <c r="R15" i="1" s="1"/>
  <c r="H15" i="1"/>
  <c r="C15" i="1"/>
  <c r="D15" i="1" s="1"/>
  <c r="E15" i="1" s="1"/>
  <c r="F15" i="1" s="1"/>
  <c r="P14" i="1"/>
  <c r="R14" i="1" s="1"/>
  <c r="H14" i="1"/>
  <c r="C14" i="1"/>
  <c r="D14" i="1" s="1"/>
  <c r="E14" i="1" s="1"/>
  <c r="F14" i="1" s="1"/>
  <c r="P13" i="1"/>
  <c r="R13" i="1" s="1"/>
  <c r="H13" i="1"/>
  <c r="C13" i="1"/>
  <c r="D13" i="1" s="1"/>
  <c r="E13" i="1" s="1"/>
  <c r="F13" i="1" s="1"/>
  <c r="P12" i="1"/>
  <c r="R12" i="1" s="1"/>
  <c r="H12" i="1"/>
  <c r="C12" i="1"/>
  <c r="D12" i="1" s="1"/>
  <c r="E12" i="1" s="1"/>
  <c r="F12" i="1" s="1"/>
  <c r="P11" i="1"/>
  <c r="R11" i="1" s="1"/>
  <c r="H11" i="1"/>
  <c r="C11" i="1"/>
  <c r="D11" i="1" s="1"/>
  <c r="E11" i="1" s="1"/>
  <c r="F11" i="1" s="1"/>
  <c r="P10" i="1"/>
  <c r="R10" i="1" s="1"/>
  <c r="H10" i="1"/>
  <c r="K10" i="1" s="1"/>
  <c r="L10" i="1" s="1"/>
  <c r="M10" i="1" s="1"/>
  <c r="C10" i="1"/>
  <c r="D10" i="1" s="1"/>
  <c r="E10" i="1" s="1"/>
  <c r="F10" i="1" s="1"/>
  <c r="P9" i="1"/>
  <c r="R9" i="1" s="1"/>
  <c r="H9" i="1"/>
  <c r="C9" i="1"/>
  <c r="D9" i="1" s="1"/>
  <c r="E9" i="1" s="1"/>
  <c r="F9" i="1" s="1"/>
  <c r="P8" i="1"/>
  <c r="R8" i="1" s="1"/>
  <c r="C8" i="1"/>
  <c r="D8" i="1" s="1"/>
  <c r="E8" i="1" s="1"/>
  <c r="F8" i="1" s="1"/>
  <c r="P7" i="1"/>
  <c r="R7" i="1" s="1"/>
  <c r="H7" i="1"/>
  <c r="I7" i="1" s="1"/>
  <c r="C7" i="1"/>
  <c r="D7" i="1" s="1"/>
  <c r="E7" i="1" s="1"/>
  <c r="F7" i="1" s="1"/>
  <c r="P6" i="1"/>
  <c r="R6" i="1" s="1"/>
  <c r="H6" i="1"/>
  <c r="K6" i="1" s="1"/>
  <c r="L6" i="1" s="1"/>
  <c r="M6" i="1" s="1"/>
  <c r="C6" i="1"/>
  <c r="D6" i="1" s="1"/>
  <c r="E6" i="1" s="1"/>
  <c r="F6" i="1" s="1"/>
  <c r="B1" i="1"/>
  <c r="I100" i="3" l="1"/>
  <c r="I70" i="3"/>
  <c r="I62" i="3"/>
  <c r="I24" i="3"/>
  <c r="I77" i="3"/>
  <c r="I61" i="3"/>
  <c r="I23" i="3"/>
  <c r="I38" i="3"/>
  <c r="I2" i="3"/>
  <c r="I85" i="3"/>
  <c r="I69" i="3"/>
  <c r="I29" i="3"/>
  <c r="I13" i="3"/>
  <c r="I86" i="3"/>
  <c r="I30" i="3"/>
  <c r="I6" i="3"/>
  <c r="I94" i="3"/>
  <c r="I54" i="3"/>
  <c r="I16" i="3"/>
  <c r="I37" i="3"/>
  <c r="I78" i="3"/>
  <c r="I46" i="3"/>
  <c r="L13" i="3"/>
  <c r="L14" i="3" s="1"/>
  <c r="I4" i="3"/>
  <c r="I93" i="3"/>
  <c r="I53" i="3"/>
  <c r="I15" i="3"/>
  <c r="I45" i="3"/>
  <c r="M4" i="3"/>
  <c r="G9" i="3"/>
  <c r="I11" i="3"/>
  <c r="I17" i="3"/>
  <c r="I25" i="3"/>
  <c r="I31" i="3"/>
  <c r="I39" i="3"/>
  <c r="I47" i="3"/>
  <c r="I55" i="3"/>
  <c r="I63" i="3"/>
  <c r="I71" i="3"/>
  <c r="I79" i="3"/>
  <c r="I87" i="3"/>
  <c r="I95" i="3"/>
  <c r="G7" i="3"/>
  <c r="I9" i="3"/>
  <c r="G14" i="3"/>
  <c r="I18" i="3"/>
  <c r="I26" i="3"/>
  <c r="I32" i="3"/>
  <c r="I40" i="3"/>
  <c r="I48" i="3"/>
  <c r="I56" i="3"/>
  <c r="I64" i="3"/>
  <c r="I72" i="3"/>
  <c r="I80" i="3"/>
  <c r="I88" i="3"/>
  <c r="I96" i="3"/>
  <c r="G3" i="3"/>
  <c r="G5" i="3"/>
  <c r="I7" i="3"/>
  <c r="G12" i="3"/>
  <c r="I14" i="3"/>
  <c r="I19" i="3"/>
  <c r="I33" i="3"/>
  <c r="I41" i="3"/>
  <c r="I49" i="3"/>
  <c r="I57" i="3"/>
  <c r="I65" i="3"/>
  <c r="I73" i="3"/>
  <c r="I81" i="3"/>
  <c r="I89" i="3"/>
  <c r="I97" i="3"/>
  <c r="I3" i="3"/>
  <c r="I5" i="3"/>
  <c r="I12" i="3"/>
  <c r="I20" i="3"/>
  <c r="I27" i="3"/>
  <c r="I34" i="3"/>
  <c r="I42" i="3"/>
  <c r="I50" i="3"/>
  <c r="I58" i="3"/>
  <c r="I66" i="3"/>
  <c r="I74" i="3"/>
  <c r="I82" i="3"/>
  <c r="I90" i="3"/>
  <c r="I98" i="3"/>
  <c r="G8" i="3"/>
  <c r="G10" i="3"/>
  <c r="I21" i="3"/>
  <c r="L27" i="3"/>
  <c r="I35" i="3"/>
  <c r="I43" i="3"/>
  <c r="I51" i="3"/>
  <c r="I59" i="3"/>
  <c r="I67" i="3"/>
  <c r="I75" i="3"/>
  <c r="I83" i="3"/>
  <c r="I91" i="3"/>
  <c r="I99" i="3"/>
  <c r="M3" i="3"/>
  <c r="I8" i="3"/>
  <c r="I10" i="3"/>
  <c r="G13" i="3"/>
  <c r="I22" i="3"/>
  <c r="I28" i="3"/>
  <c r="I36" i="3"/>
  <c r="I44" i="3"/>
  <c r="I52" i="3"/>
  <c r="I60" i="3"/>
  <c r="I68" i="3"/>
  <c r="I76" i="3"/>
  <c r="I84" i="3"/>
  <c r="I92" i="3"/>
  <c r="AI13" i="1"/>
  <c r="AI12" i="1"/>
  <c r="AI14" i="1"/>
  <c r="I25" i="1"/>
  <c r="Q30" i="1"/>
  <c r="Q26" i="1"/>
  <c r="Q28" i="1"/>
  <c r="Q31" i="1"/>
  <c r="Q25" i="1"/>
  <c r="Q23" i="1"/>
  <c r="Q21" i="1"/>
  <c r="Q19" i="1"/>
  <c r="Q17" i="1"/>
  <c r="Q15" i="1"/>
  <c r="Q13" i="1"/>
  <c r="Q11" i="1"/>
  <c r="Q9" i="1"/>
  <c r="Q7" i="1"/>
  <c r="Q29" i="1"/>
  <c r="Q27" i="1"/>
  <c r="Q24" i="1"/>
  <c r="Q22" i="1"/>
  <c r="Q20" i="1"/>
  <c r="Q18" i="1"/>
  <c r="Q16" i="1"/>
  <c r="Q14" i="1"/>
  <c r="Q12" i="1"/>
  <c r="Q10" i="1"/>
  <c r="Q8" i="1"/>
  <c r="Q6" i="1"/>
  <c r="K8" i="1"/>
  <c r="L8" i="1" s="1"/>
  <c r="M8" i="1" s="1"/>
  <c r="K16" i="1"/>
  <c r="L16" i="1" s="1"/>
  <c r="M16" i="1" s="1"/>
  <c r="K14" i="1"/>
  <c r="L14" i="1" s="1"/>
  <c r="M14" i="1" s="1"/>
  <c r="K22" i="1"/>
  <c r="L22" i="1" s="1"/>
  <c r="M22" i="1" s="1"/>
  <c r="K12" i="1"/>
  <c r="L12" i="1" s="1"/>
  <c r="M12" i="1" s="1"/>
  <c r="I9" i="1"/>
  <c r="I11" i="1"/>
  <c r="I13" i="1"/>
  <c r="I15" i="1"/>
  <c r="I17" i="1"/>
  <c r="I19" i="1"/>
  <c r="I21" i="1"/>
  <c r="I23" i="1"/>
  <c r="K7" i="1"/>
  <c r="L7" i="1" s="1"/>
  <c r="M7" i="1" s="1"/>
  <c r="K9" i="1"/>
  <c r="L9" i="1" s="1"/>
  <c r="M9" i="1" s="1"/>
  <c r="K11" i="1"/>
  <c r="L11" i="1" s="1"/>
  <c r="M11" i="1" s="1"/>
  <c r="K13" i="1"/>
  <c r="L13" i="1" s="1"/>
  <c r="M13" i="1" s="1"/>
  <c r="K15" i="1"/>
  <c r="L15" i="1" s="1"/>
  <c r="M15" i="1" s="1"/>
  <c r="K17" i="1"/>
  <c r="L17" i="1" s="1"/>
  <c r="M17" i="1" s="1"/>
  <c r="K19" i="1"/>
  <c r="L19" i="1" s="1"/>
  <c r="M19" i="1" s="1"/>
  <c r="K21" i="1"/>
  <c r="L21" i="1" s="1"/>
  <c r="M21" i="1" s="1"/>
  <c r="K23" i="1"/>
  <c r="L23" i="1" s="1"/>
  <c r="M23" i="1" s="1"/>
  <c r="K25" i="1"/>
  <c r="L25" i="1" s="1"/>
  <c r="M25" i="1" s="1"/>
  <c r="I6" i="1"/>
  <c r="I8" i="1"/>
  <c r="I10" i="1"/>
  <c r="I14" i="1"/>
  <c r="I16" i="1"/>
  <c r="I18" i="1"/>
  <c r="I20" i="1"/>
  <c r="I22" i="1"/>
  <c r="I24" i="1"/>
  <c r="I12" i="1"/>
  <c r="K18" i="1"/>
  <c r="L18" i="1" s="1"/>
  <c r="M18" i="1" s="1"/>
  <c r="K20" i="1"/>
  <c r="L20" i="1" s="1"/>
  <c r="M20" i="1" s="1"/>
  <c r="K24" i="1"/>
  <c r="L24" i="1" s="1"/>
  <c r="M24" i="1" s="1"/>
  <c r="M4" i="1" l="1"/>
</calcChain>
</file>

<file path=xl/sharedStrings.xml><?xml version="1.0" encoding="utf-8"?>
<sst xmlns="http://schemas.openxmlformats.org/spreadsheetml/2006/main" count="76" uniqueCount="53">
  <si>
    <t>N=</t>
  </si>
  <si>
    <t>lamda</t>
  </si>
  <si>
    <t>Gumbel</t>
  </si>
  <si>
    <t>Average</t>
  </si>
  <si>
    <t>psi</t>
  </si>
  <si>
    <t>SD</t>
  </si>
  <si>
    <t>kappa</t>
  </si>
  <si>
    <t>Year</t>
  </si>
  <si>
    <t>Q [m3/s]</t>
  </si>
  <si>
    <t>Rank</t>
  </si>
  <si>
    <t>Prob, u</t>
  </si>
  <si>
    <t>Prob, p</t>
  </si>
  <si>
    <t>T [years]</t>
  </si>
  <si>
    <t>Q (sorted)</t>
  </si>
  <si>
    <t>GEV</t>
  </si>
  <si>
    <t>Error</t>
  </si>
  <si>
    <t>MSE=</t>
  </si>
  <si>
    <t>u=rank/(N+1)</t>
  </si>
  <si>
    <t>p=1-u</t>
  </si>
  <si>
    <t>T</t>
  </si>
  <si>
    <t>x</t>
  </si>
  <si>
    <t>p</t>
  </si>
  <si>
    <t>u=1-p</t>
  </si>
  <si>
    <t>X</t>
  </si>
  <si>
    <t>u</t>
  </si>
  <si>
    <t>F_hat=u</t>
  </si>
  <si>
    <t>Q Ranked</t>
  </si>
  <si>
    <t>T_hat</t>
  </si>
  <si>
    <t>σ_hat</t>
  </si>
  <si>
    <t>m_hat</t>
  </si>
  <si>
    <t>lambda</t>
  </si>
  <si>
    <t>X(u)</t>
  </si>
  <si>
    <t>m3/s</t>
  </si>
  <si>
    <t>x=</t>
  </si>
  <si>
    <t>T=</t>
  </si>
  <si>
    <t>u=FX</t>
  </si>
  <si>
    <t>Data</t>
  </si>
  <si>
    <t>Ranked Data</t>
  </si>
  <si>
    <t>F_hat(x)</t>
  </si>
  <si>
    <t>U</t>
  </si>
  <si>
    <t>FX_Theor</t>
  </si>
  <si>
    <t>λ</t>
  </si>
  <si>
    <t>F=nx/N</t>
  </si>
  <si>
    <t>ψ</t>
  </si>
  <si>
    <t>F=nx/N+1</t>
  </si>
  <si>
    <t>m_theor</t>
  </si>
  <si>
    <t>σ_theor</t>
  </si>
  <si>
    <t>N</t>
  </si>
  <si>
    <t>F(X&lt;=x)</t>
  </si>
  <si>
    <t>1-F(X&lt;=x)</t>
  </si>
  <si>
    <t>p=</t>
  </si>
  <si>
    <t>u=</t>
  </si>
  <si>
    <t>x(u)=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</si>
</sst>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%"/>
    <numFmt numFmtId="168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1" fontId="3" fillId="0" borderId="0" xfId="0" applyNumberFormat="1" applyFont="1"/>
    <xf numFmtId="0" fontId="3" fillId="0" borderId="0" xfId="0" applyFont="1"/>
    <xf numFmtId="0" fontId="0" fillId="2" borderId="0" xfId="0" applyFill="1"/>
    <xf numFmtId="165" fontId="0" fillId="0" borderId="0" xfId="0" applyNumberFormat="1"/>
    <xf numFmtId="164" fontId="3" fillId="0" borderId="0" xfId="0" applyNumberFormat="1" applyFont="1"/>
    <xf numFmtId="164" fontId="0" fillId="2" borderId="0" xfId="0" applyNumberFormat="1" applyFill="1"/>
    <xf numFmtId="165" fontId="0" fillId="2" borderId="0" xfId="0" applyNumberFormat="1" applyFill="1"/>
    <xf numFmtId="0" fontId="3" fillId="2" borderId="0" xfId="0" applyFont="1" applyFill="1"/>
    <xf numFmtId="164" fontId="3" fillId="2" borderId="0" xfId="0" applyNumberFormat="1" applyFont="1" applyFill="1"/>
    <xf numFmtId="0" fontId="2" fillId="0" borderId="0" xfId="0" applyFont="1"/>
    <xf numFmtId="1" fontId="0" fillId="0" borderId="0" xfId="0" applyNumberFormat="1"/>
    <xf numFmtId="165" fontId="3" fillId="2" borderId="0" xfId="0" applyNumberFormat="1" applyFont="1" applyFill="1"/>
    <xf numFmtId="164" fontId="2" fillId="0" borderId="0" xfId="0" applyNumberFormat="1" applyFont="1"/>
    <xf numFmtId="0" fontId="2" fillId="2" borderId="0" xfId="0" applyFont="1" applyFill="1"/>
    <xf numFmtId="164" fontId="4" fillId="0" borderId="0" xfId="0" applyNumberFormat="1" applyFont="1"/>
    <xf numFmtId="2" fontId="0" fillId="0" borderId="0" xfId="0" applyNumberFormat="1"/>
    <xf numFmtId="0" fontId="4" fillId="0" borderId="0" xfId="0" applyFont="1"/>
    <xf numFmtId="166" fontId="0" fillId="0" borderId="0" xfId="1" applyNumberFormat="1" applyFont="1" applyFill="1"/>
    <xf numFmtId="9" fontId="4" fillId="0" borderId="0" xfId="1" applyFont="1" applyFill="1"/>
    <xf numFmtId="9" fontId="0" fillId="0" borderId="0" xfId="0" applyNumberFormat="1"/>
    <xf numFmtId="0" fontId="3" fillId="0" borderId="0" xfId="0" applyFont="1" applyAlignment="1">
      <alignment horizontal="center"/>
    </xf>
    <xf numFmtId="168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In_Class_1!$G$1</c:f>
              <c:strCache>
                <c:ptCount val="1"/>
                <c:pt idx="0">
                  <c:v>F_hat(x)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4"/>
          </c:marker>
          <c:xVal>
            <c:numRef>
              <c:f>In_Class_1!$F$2:$F$15</c:f>
              <c:numCache>
                <c:formatCode>General</c:formatCode>
                <c:ptCount val="14"/>
                <c:pt idx="0">
                  <c:v>1.3</c:v>
                </c:pt>
                <c:pt idx="1">
                  <c:v>2.13</c:v>
                </c:pt>
                <c:pt idx="2">
                  <c:v>2.8</c:v>
                </c:pt>
                <c:pt idx="3">
                  <c:v>4.5</c:v>
                </c:pt>
                <c:pt idx="4">
                  <c:v>9</c:v>
                </c:pt>
                <c:pt idx="5">
                  <c:v>9.3000000000000007</c:v>
                </c:pt>
                <c:pt idx="6">
                  <c:v>19</c:v>
                </c:pt>
                <c:pt idx="7">
                  <c:v>23</c:v>
                </c:pt>
                <c:pt idx="8">
                  <c:v>26.4</c:v>
                </c:pt>
                <c:pt idx="9">
                  <c:v>27</c:v>
                </c:pt>
                <c:pt idx="10">
                  <c:v>30</c:v>
                </c:pt>
                <c:pt idx="11">
                  <c:v>34.5</c:v>
                </c:pt>
                <c:pt idx="12">
                  <c:v>45.3</c:v>
                </c:pt>
                <c:pt idx="13">
                  <c:v>67</c:v>
                </c:pt>
              </c:numCache>
            </c:numRef>
          </c:xVal>
          <c:yVal>
            <c:numRef>
              <c:f>In_Class_1!$G$2:$G$15</c:f>
              <c:numCache>
                <c:formatCode>0.000</c:formatCode>
                <c:ptCount val="14"/>
                <c:pt idx="0">
                  <c:v>6.6666666666666666E-2</c:v>
                </c:pt>
                <c:pt idx="1">
                  <c:v>0.13333333333333333</c:v>
                </c:pt>
                <c:pt idx="2">
                  <c:v>0.2</c:v>
                </c:pt>
                <c:pt idx="3">
                  <c:v>0.26666666666666666</c:v>
                </c:pt>
                <c:pt idx="4">
                  <c:v>0.33333333333333331</c:v>
                </c:pt>
                <c:pt idx="5">
                  <c:v>0.4</c:v>
                </c:pt>
                <c:pt idx="6">
                  <c:v>0.46666666666666667</c:v>
                </c:pt>
                <c:pt idx="7">
                  <c:v>0.53333333333333333</c:v>
                </c:pt>
                <c:pt idx="8">
                  <c:v>0.6</c:v>
                </c:pt>
                <c:pt idx="9">
                  <c:v>0.66666666666666663</c:v>
                </c:pt>
                <c:pt idx="10">
                  <c:v>0.73333333333333328</c:v>
                </c:pt>
                <c:pt idx="11">
                  <c:v>0.8</c:v>
                </c:pt>
                <c:pt idx="12">
                  <c:v>0.8666666666666667</c:v>
                </c:pt>
                <c:pt idx="13">
                  <c:v>0.93333333333333335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DD-4408-968A-035640983584}"/>
            </c:ext>
          </c:extLst>
        </c:ser>
        <c:ser>
          <c:idx val="0"/>
          <c:order val="1"/>
          <c:tx>
            <c:strRef>
              <c:f>In_Class_1!$G$1</c:f>
              <c:strCache>
                <c:ptCount val="1"/>
                <c:pt idx="0">
                  <c:v>F_hat(x)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In_Class_1!$I$2:$I$1500</c:f>
              <c:numCache>
                <c:formatCode>General</c:formatCode>
                <c:ptCount val="1499"/>
                <c:pt idx="0">
                  <c:v>-9.5863431670066053</c:v>
                </c:pt>
                <c:pt idx="1">
                  <c:v>-7.1753526036191442</c:v>
                </c:pt>
                <c:pt idx="2">
                  <c:v>-5.5581268307207434</c:v>
                </c:pt>
                <c:pt idx="3">
                  <c:v>-4.2929169016225099</c:v>
                </c:pt>
                <c:pt idx="4">
                  <c:v>-3.2310689381391722</c:v>
                </c:pt>
                <c:pt idx="5">
                  <c:v>-2.3030141544510183</c:v>
                </c:pt>
                <c:pt idx="6">
                  <c:v>-1.4701656317188849</c:v>
                </c:pt>
                <c:pt idx="7">
                  <c:v>-0.70872401843100441</c:v>
                </c:pt>
                <c:pt idx="8">
                  <c:v>-2.8945295907618629E-3</c:v>
                </c:pt>
                <c:pt idx="9">
                  <c:v>0.65838562322731775</c:v>
                </c:pt>
                <c:pt idx="10">
                  <c:v>1.283192639646332</c:v>
                </c:pt>
                <c:pt idx="11">
                  <c:v>1.8776197946738105</c:v>
                </c:pt>
                <c:pt idx="12">
                  <c:v>2.4463895155772839</c:v>
                </c:pt>
                <c:pt idx="13">
                  <c:v>2.9932447233108572</c:v>
                </c:pt>
                <c:pt idx="14">
                  <c:v>3.5212089708537402</c:v>
                </c:pt>
                <c:pt idx="15">
                  <c:v>4.0327651003129343</c:v>
                </c:pt>
                <c:pt idx="16">
                  <c:v>4.5299813956923103</c:v>
                </c:pt>
                <c:pt idx="17">
                  <c:v>5.0146028206018487</c:v>
                </c:pt>
                <c:pt idx="18">
                  <c:v>5.4881183970645484</c:v>
                </c:pt>
                <c:pt idx="19">
                  <c:v>5.9518118886114104</c:v>
                </c:pt>
                <c:pt idx="20">
                  <c:v>6.4068005533317205</c:v>
                </c:pt>
                <c:pt idx="21">
                  <c:v>6.8540652126364909</c:v>
                </c:pt>
                <c:pt idx="22">
                  <c:v>7.2944738929328228</c:v>
                </c:pt>
                <c:pt idx="23">
                  <c:v>7.728800639576888</c:v>
                </c:pt>
                <c:pt idx="24">
                  <c:v>8.1577406556541305</c:v>
                </c:pt>
                <c:pt idx="25">
                  <c:v>8.5819226089720129</c:v>
                </c:pt>
                <c:pt idx="26">
                  <c:v>9.001918733113941</c:v>
                </c:pt>
                <c:pt idx="27">
                  <c:v>9.4182531929800177</c:v>
                </c:pt>
                <c:pt idx="28">
                  <c:v>9.8314090726342975</c:v>
                </c:pt>
                <c:pt idx="29">
                  <c:v>10.241834260643159</c:v>
                </c:pt>
                <c:pt idx="30">
                  <c:v>10.649946446731985</c:v>
                </c:pt>
                <c:pt idx="31">
                  <c:v>11.056137397534934</c:v>
                </c:pt>
                <c:pt idx="32">
                  <c:v>11.460776644304062</c:v>
                </c:pt>
                <c:pt idx="33">
                  <c:v>11.864214688741884</c:v>
                </c:pt>
                <c:pt idx="34">
                  <c:v>12.266785812528788</c:v>
                </c:pt>
                <c:pt idx="35">
                  <c:v>12.668810560117635</c:v>
                </c:pt>
                <c:pt idx="36">
                  <c:v>13.070597951857211</c:v>
                </c:pt>
                <c:pt idx="37">
                  <c:v>13.472447474670256</c:v>
                </c:pt>
                <c:pt idx="38">
                  <c:v>13.874650889744705</c:v>
                </c:pt>
                <c:pt idx="39">
                  <c:v>14.277493890546856</c:v>
                </c:pt>
                <c:pt idx="40">
                  <c:v>14.68125763959068</c:v>
                </c:pt>
                <c:pt idx="41">
                  <c:v>15.086220208540428</c:v>
                </c:pt>
                <c:pt idx="42">
                  <c:v>15.492657943187446</c:v>
                </c:pt>
                <c:pt idx="43">
                  <c:v>15.900846772477834</c:v>
                </c:pt>
                <c:pt idx="44">
                  <c:v>16.311063478961479</c:v>
                </c:pt>
                <c:pt idx="45">
                  <c:v>16.723586946700241</c:v>
                </c:pt>
                <c:pt idx="46">
                  <c:v>17.138699401750554</c:v>
                </c:pt>
                <c:pt idx="47">
                  <c:v>17.556687659778593</c:v>
                </c:pt>
                <c:pt idx="48">
                  <c:v>17.977844395144324</c:v>
                </c:pt>
                <c:pt idx="49">
                  <c:v>18.402469445888052</c:v>
                </c:pt>
                <c:pt idx="50">
                  <c:v>18.830871169463613</c:v>
                </c:pt>
                <c:pt idx="51">
                  <c:v>19.263367864793082</c:v>
                </c:pt>
                <c:pt idx="52">
                  <c:v>19.700289277285862</c:v>
                </c:pt>
                <c:pt idx="53">
                  <c:v>20.14197820489969</c:v>
                </c:pt>
                <c:pt idx="54">
                  <c:v>20.588792225164646</c:v>
                </c:pt>
                <c:pt idx="55">
                  <c:v>21.041105565401345</c:v>
                </c:pt>
                <c:pt idx="56">
                  <c:v>21.499311141215777</c:v>
                </c:pt>
                <c:pt idx="57">
                  <c:v>21.963822791842553</c:v>
                </c:pt>
                <c:pt idx="58">
                  <c:v>22.435077745158054</c:v>
                </c:pt>
                <c:pt idx="59">
                  <c:v>22.913539350351556</c:v>
                </c:pt>
                <c:pt idx="60">
                  <c:v>23.399700122522614</c:v>
                </c:pt>
                <c:pt idx="61">
                  <c:v>23.894085151118009</c:v>
                </c:pt>
                <c:pt idx="62">
                  <c:v>24.397255933450531</c:v>
                </c:pt>
                <c:pt idx="63">
                  <c:v>24.9098147059624</c:v>
                </c:pt>
                <c:pt idx="64">
                  <c:v>25.432409359932876</c:v>
                </c:pt>
                <c:pt idx="65">
                  <c:v>25.96573904565955</c:v>
                </c:pt>
                <c:pt idx="66">
                  <c:v>26.51056059064608</c:v>
                </c:pt>
                <c:pt idx="67">
                  <c:v>27.067695884158503</c:v>
                </c:pt>
                <c:pt idx="68">
                  <c:v>27.638040414185994</c:v>
                </c:pt>
                <c:pt idx="69">
                  <c:v>28.222573185378238</c:v>
                </c:pt>
                <c:pt idx="70">
                  <c:v>28.822368300633627</c:v>
                </c:pt>
                <c:pt idx="71">
                  <c:v>29.438608558332518</c:v>
                </c:pt>
                <c:pt idx="72">
                  <c:v>30.072601506731552</c:v>
                </c:pt>
                <c:pt idx="73">
                  <c:v>30.725798513622934</c:v>
                </c:pt>
                <c:pt idx="74">
                  <c:v>31.399817562579543</c:v>
                </c:pt>
                <c:pt idx="75">
                  <c:v>32.096470690420752</c:v>
                </c:pt>
                <c:pt idx="76">
                  <c:v>32.817797253155575</c:v>
                </c:pt>
                <c:pt idx="77">
                  <c:v>33.566104577347595</c:v>
                </c:pt>
                <c:pt idx="78">
                  <c:v>34.344018061294037</c:v>
                </c:pt>
                <c:pt idx="79">
                  <c:v>35.154543496196325</c:v>
                </c:pt>
                <c:pt idx="80">
                  <c:v>36.001145373326203</c:v>
                </c:pt>
                <c:pt idx="81">
                  <c:v>36.887846370442176</c:v>
                </c:pt>
                <c:pt idx="82">
                  <c:v>37.819355291745815</c:v>
                </c:pt>
                <c:pt idx="83">
                  <c:v>38.801233827971053</c:v>
                </c:pt>
                <c:pt idx="84">
                  <c:v>39.840117195569981</c:v>
                </c:pt>
                <c:pt idx="85">
                  <c:v>40.944011002612349</c:v>
                </c:pt>
                <c:pt idx="86">
                  <c:v>42.12269831090105</c:v>
                </c:pt>
                <c:pt idx="87">
                  <c:v>43.388309951440419</c:v>
                </c:pt>
                <c:pt idx="88">
                  <c:v>44.75614357389108</c:v>
                </c:pt>
                <c:pt idx="89">
                  <c:v>46.245874163560117</c:v>
                </c:pt>
                <c:pt idx="90">
                  <c:v>47.883404518442831</c:v>
                </c:pt>
                <c:pt idx="91">
                  <c:v>49.703810211145182</c:v>
                </c:pt>
                <c:pt idx="92">
                  <c:v>51.756261379622991</c:v>
                </c:pt>
                <c:pt idx="93">
                  <c:v>54.112764246287583</c:v>
                </c:pt>
                <c:pt idx="94">
                  <c:v>56.884944826447899</c:v>
                </c:pt>
                <c:pt idx="95">
                  <c:v>60.259799864321856</c:v>
                </c:pt>
                <c:pt idx="96">
                  <c:v>64.587872689478488</c:v>
                </c:pt>
                <c:pt idx="97">
                  <c:v>70.656130505213213</c:v>
                </c:pt>
                <c:pt idx="98">
                  <c:v>80.975696272573032</c:v>
                </c:pt>
              </c:numCache>
            </c:numRef>
          </c:xVal>
          <c:yVal>
            <c:numRef>
              <c:f>In_Class_1!$H$2:$H$1500</c:f>
              <c:numCache>
                <c:formatCode>0.000</c:formatCode>
                <c:ptCount val="1499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0.56999999999999995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EDD-4408-968A-035640983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9452304"/>
        <c:axId val="864693096"/>
      </c:scatterChart>
      <c:valAx>
        <c:axId val="86945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693096"/>
        <c:crosses val="autoZero"/>
        <c:crossBetween val="midCat"/>
      </c:valAx>
      <c:valAx>
        <c:axId val="86469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452304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1036379580282"/>
          <c:y val="5.0925925925925923E-2"/>
          <c:w val="0.7708343003872894"/>
          <c:h val="0.76952588242796138"/>
        </c:manualLayout>
      </c:layout>
      <c:scatterChart>
        <c:scatterStyle val="lineMarker"/>
        <c:varyColors val="0"/>
        <c:ser>
          <c:idx val="0"/>
          <c:order val="0"/>
          <c:tx>
            <c:v>Data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In_Class_2_Solved_and_GEV!$I$6:$I$25</c:f>
              <c:numCache>
                <c:formatCode>0.000</c:formatCode>
                <c:ptCount val="20"/>
                <c:pt idx="0">
                  <c:v>1.05</c:v>
                </c:pt>
                <c:pt idx="1">
                  <c:v>1.1052631578947367</c:v>
                </c:pt>
                <c:pt idx="2">
                  <c:v>1.1666666666666665</c:v>
                </c:pt>
                <c:pt idx="3">
                  <c:v>1.2352941176470589</c:v>
                </c:pt>
                <c:pt idx="4">
                  <c:v>1.3125</c:v>
                </c:pt>
                <c:pt idx="5">
                  <c:v>1.4</c:v>
                </c:pt>
                <c:pt idx="6">
                  <c:v>1.4999999999999998</c:v>
                </c:pt>
                <c:pt idx="7">
                  <c:v>1.6153846153846154</c:v>
                </c:pt>
                <c:pt idx="8">
                  <c:v>1.75</c:v>
                </c:pt>
                <c:pt idx="9">
                  <c:v>1.9090909090909089</c:v>
                </c:pt>
                <c:pt idx="10">
                  <c:v>2.1</c:v>
                </c:pt>
                <c:pt idx="11">
                  <c:v>2.333333333333333</c:v>
                </c:pt>
                <c:pt idx="12">
                  <c:v>2.625</c:v>
                </c:pt>
                <c:pt idx="13">
                  <c:v>2.9999999999999996</c:v>
                </c:pt>
                <c:pt idx="14">
                  <c:v>3.5</c:v>
                </c:pt>
                <c:pt idx="15">
                  <c:v>4.1999999999999993</c:v>
                </c:pt>
                <c:pt idx="16">
                  <c:v>5.25</c:v>
                </c:pt>
                <c:pt idx="17">
                  <c:v>6.9999999999999973</c:v>
                </c:pt>
                <c:pt idx="18">
                  <c:v>10.5</c:v>
                </c:pt>
                <c:pt idx="19">
                  <c:v>20.999999999999975</c:v>
                </c:pt>
              </c:numCache>
            </c:numRef>
          </c:xVal>
          <c:yVal>
            <c:numRef>
              <c:f>In_Class_2_Solved_and_GEV!$H$6:$H$25</c:f>
              <c:numCache>
                <c:formatCode>General</c:formatCode>
                <c:ptCount val="20"/>
                <c:pt idx="0">
                  <c:v>70</c:v>
                </c:pt>
                <c:pt idx="1">
                  <c:v>176</c:v>
                </c:pt>
                <c:pt idx="2">
                  <c:v>188</c:v>
                </c:pt>
                <c:pt idx="3">
                  <c:v>192</c:v>
                </c:pt>
                <c:pt idx="4">
                  <c:v>215</c:v>
                </c:pt>
                <c:pt idx="5">
                  <c:v>305</c:v>
                </c:pt>
                <c:pt idx="6">
                  <c:v>317</c:v>
                </c:pt>
                <c:pt idx="7">
                  <c:v>365</c:v>
                </c:pt>
                <c:pt idx="8">
                  <c:v>374</c:v>
                </c:pt>
                <c:pt idx="9">
                  <c:v>378</c:v>
                </c:pt>
                <c:pt idx="10">
                  <c:v>381</c:v>
                </c:pt>
                <c:pt idx="11">
                  <c:v>387</c:v>
                </c:pt>
                <c:pt idx="12">
                  <c:v>412</c:v>
                </c:pt>
                <c:pt idx="13">
                  <c:v>430</c:v>
                </c:pt>
                <c:pt idx="14">
                  <c:v>439</c:v>
                </c:pt>
                <c:pt idx="15">
                  <c:v>448</c:v>
                </c:pt>
                <c:pt idx="16">
                  <c:v>502</c:v>
                </c:pt>
                <c:pt idx="17">
                  <c:v>525</c:v>
                </c:pt>
                <c:pt idx="18">
                  <c:v>713</c:v>
                </c:pt>
                <c:pt idx="19">
                  <c:v>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E7-49E3-BFA3-B2BB74FA3F7E}"/>
            </c:ext>
          </c:extLst>
        </c:ser>
        <c:ser>
          <c:idx val="1"/>
          <c:order val="1"/>
          <c:tx>
            <c:v>Gumbel (mom Fit)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In_Class_2_Solved_and_GEV!$O$6:$O$30</c:f>
              <c:numCache>
                <c:formatCode>General</c:formatCode>
                <c:ptCount val="25"/>
                <c:pt idx="0">
                  <c:v>1.05</c:v>
                </c:pt>
                <c:pt idx="1">
                  <c:v>1.2</c:v>
                </c:pt>
                <c:pt idx="2">
                  <c:v>1.8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  <c:pt idx="9">
                  <c:v>25</c:v>
                </c:pt>
                <c:pt idx="10">
                  <c:v>30</c:v>
                </c:pt>
                <c:pt idx="11">
                  <c:v>35</c:v>
                </c:pt>
                <c:pt idx="12">
                  <c:v>40</c:v>
                </c:pt>
                <c:pt idx="13">
                  <c:v>45</c:v>
                </c:pt>
                <c:pt idx="14">
                  <c:v>50</c:v>
                </c:pt>
                <c:pt idx="15">
                  <c:v>55</c:v>
                </c:pt>
                <c:pt idx="16">
                  <c:v>60</c:v>
                </c:pt>
                <c:pt idx="17">
                  <c:v>65</c:v>
                </c:pt>
                <c:pt idx="18">
                  <c:v>70</c:v>
                </c:pt>
                <c:pt idx="19">
                  <c:v>75</c:v>
                </c:pt>
                <c:pt idx="20">
                  <c:v>80</c:v>
                </c:pt>
                <c:pt idx="21">
                  <c:v>85</c:v>
                </c:pt>
                <c:pt idx="22">
                  <c:v>90</c:v>
                </c:pt>
                <c:pt idx="23">
                  <c:v>95</c:v>
                </c:pt>
                <c:pt idx="24">
                  <c:v>100</c:v>
                </c:pt>
              </c:numCache>
            </c:numRef>
          </c:xVal>
          <c:yVal>
            <c:numRef>
              <c:f>In_Class_2_Solved_and_GEV!$Q$6:$Q$30</c:f>
              <c:numCache>
                <c:formatCode>0.000</c:formatCode>
                <c:ptCount val="25"/>
                <c:pt idx="0">
                  <c:v>139.47507506332659</c:v>
                </c:pt>
                <c:pt idx="1">
                  <c:v>216.48611613234743</c:v>
                </c:pt>
                <c:pt idx="2">
                  <c:v>331.64712939965648</c:v>
                </c:pt>
                <c:pt idx="3">
                  <c:v>354.44478531062913</c:v>
                </c:pt>
                <c:pt idx="4">
                  <c:v>432.33635216042848</c:v>
                </c:pt>
                <c:pt idx="5">
                  <c:v>519.09075596476521</c:v>
                </c:pt>
                <c:pt idx="6">
                  <c:v>628.1007148564222</c:v>
                </c:pt>
                <c:pt idx="7">
                  <c:v>689.60321249463686</c:v>
                </c:pt>
                <c:pt idx="8">
                  <c:v>732.66568459620601</c:v>
                </c:pt>
                <c:pt idx="9">
                  <c:v>765.83508689582959</c:v>
                </c:pt>
                <c:pt idx="10">
                  <c:v>792.81933195941747</c:v>
                </c:pt>
                <c:pt idx="11">
                  <c:v>815.56689587702135</c:v>
                </c:pt>
                <c:pt idx="12">
                  <c:v>835.22951230823969</c:v>
                </c:pt>
                <c:pt idx="13">
                  <c:v>852.54494004527396</c:v>
                </c:pt>
                <c:pt idx="14">
                  <c:v>868.0143122544589</c:v>
                </c:pt>
                <c:pt idx="15">
                  <c:v>881.9936309284501</c:v>
                </c:pt>
                <c:pt idx="16">
                  <c:v>894.74490965550831</c:v>
                </c:pt>
                <c:pt idx="17">
                  <c:v>906.46660055006396</c:v>
                </c:pt>
                <c:pt idx="18">
                  <c:v>917.31262472430421</c:v>
                </c:pt>
                <c:pt idx="19">
                  <c:v>927.40477365726929</c:v>
                </c:pt>
                <c:pt idx="20">
                  <c:v>936.84107298825074</c:v>
                </c:pt>
                <c:pt idx="21">
                  <c:v>945.70159023207862</c:v>
                </c:pt>
                <c:pt idx="22">
                  <c:v>954.05257008434251</c:v>
                </c:pt>
                <c:pt idx="23">
                  <c:v>961.94944390189357</c:v>
                </c:pt>
                <c:pt idx="24">
                  <c:v>969.43906225219939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E7-49E3-BFA3-B2BB74FA3F7E}"/>
            </c:ext>
          </c:extLst>
        </c:ser>
        <c:ser>
          <c:idx val="2"/>
          <c:order val="2"/>
          <c:tx>
            <c:v>GEV (LS Fit)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In_Class_2_Solved_and_GEV!$O$6:$O$30</c:f>
              <c:numCache>
                <c:formatCode>General</c:formatCode>
                <c:ptCount val="25"/>
                <c:pt idx="0">
                  <c:v>1.05</c:v>
                </c:pt>
                <c:pt idx="1">
                  <c:v>1.2</c:v>
                </c:pt>
                <c:pt idx="2">
                  <c:v>1.8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  <c:pt idx="9">
                  <c:v>25</c:v>
                </c:pt>
                <c:pt idx="10">
                  <c:v>30</c:v>
                </c:pt>
                <c:pt idx="11">
                  <c:v>35</c:v>
                </c:pt>
                <c:pt idx="12">
                  <c:v>40</c:v>
                </c:pt>
                <c:pt idx="13">
                  <c:v>45</c:v>
                </c:pt>
                <c:pt idx="14">
                  <c:v>50</c:v>
                </c:pt>
                <c:pt idx="15">
                  <c:v>55</c:v>
                </c:pt>
                <c:pt idx="16">
                  <c:v>60</c:v>
                </c:pt>
                <c:pt idx="17">
                  <c:v>65</c:v>
                </c:pt>
                <c:pt idx="18">
                  <c:v>70</c:v>
                </c:pt>
                <c:pt idx="19">
                  <c:v>75</c:v>
                </c:pt>
                <c:pt idx="20">
                  <c:v>80</c:v>
                </c:pt>
                <c:pt idx="21">
                  <c:v>85</c:v>
                </c:pt>
                <c:pt idx="22">
                  <c:v>90</c:v>
                </c:pt>
                <c:pt idx="23">
                  <c:v>95</c:v>
                </c:pt>
                <c:pt idx="24">
                  <c:v>100</c:v>
                </c:pt>
              </c:numCache>
            </c:numRef>
          </c:xVal>
          <c:yVal>
            <c:numRef>
              <c:f>In_Class_2_Solved_and_GEV!$R$6:$R$30</c:f>
              <c:numCache>
                <c:formatCode>General</c:formatCode>
                <c:ptCount val="25"/>
                <c:pt idx="0">
                  <c:v>140.35519372610003</c:v>
                </c:pt>
                <c:pt idx="1">
                  <c:v>208.74969651771698</c:v>
                </c:pt>
                <c:pt idx="2">
                  <c:v>320.83182114684257</c:v>
                </c:pt>
                <c:pt idx="3">
                  <c:v>344.51131090006987</c:v>
                </c:pt>
                <c:pt idx="4">
                  <c:v>429.39695443496123</c:v>
                </c:pt>
                <c:pt idx="5">
                  <c:v>531.63765124185227</c:v>
                </c:pt>
                <c:pt idx="6">
                  <c:v>672.64885018950554</c:v>
                </c:pt>
                <c:pt idx="7">
                  <c:v>758.89162753529445</c:v>
                </c:pt>
                <c:pt idx="8">
                  <c:v>822.34694835666676</c:v>
                </c:pt>
                <c:pt idx="9">
                  <c:v>873.0250345666301</c:v>
                </c:pt>
                <c:pt idx="10">
                  <c:v>915.44748849044925</c:v>
                </c:pt>
                <c:pt idx="11">
                  <c:v>952.06392594333738</c:v>
                </c:pt>
                <c:pt idx="12">
                  <c:v>984.35846679328961</c:v>
                </c:pt>
                <c:pt idx="13">
                  <c:v>1013.3017486654747</c:v>
                </c:pt>
                <c:pt idx="14">
                  <c:v>1039.5650545093977</c:v>
                </c:pt>
                <c:pt idx="15">
                  <c:v>1063.6328841571908</c:v>
                </c:pt>
                <c:pt idx="16">
                  <c:v>1085.8669226033712</c:v>
                </c:pt>
                <c:pt idx="17">
                  <c:v>1106.54465776597</c:v>
                </c:pt>
                <c:pt idx="18">
                  <c:v>1125.8838539282651</c:v>
                </c:pt>
                <c:pt idx="19">
                  <c:v>1144.058692261955</c:v>
                </c:pt>
                <c:pt idx="20">
                  <c:v>1161.2107767561104</c:v>
                </c:pt>
                <c:pt idx="21">
                  <c:v>1177.456854680514</c:v>
                </c:pt>
                <c:pt idx="22">
                  <c:v>1192.894366051054</c:v>
                </c:pt>
                <c:pt idx="23">
                  <c:v>1207.6055181143772</c:v>
                </c:pt>
                <c:pt idx="24">
                  <c:v>1221.6603331388865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0E7-49E3-BFA3-B2BB74FA3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600872"/>
        <c:axId val="469600480"/>
      </c:scatterChart>
      <c:valAx>
        <c:axId val="469600872"/>
        <c:scaling>
          <c:logBase val="10"/>
          <c:orientation val="minMax"/>
          <c:max val="10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Return period, </a:t>
                </a:r>
                <a:r>
                  <a:rPr lang="en-US" i="1"/>
                  <a:t>T</a:t>
                </a:r>
                <a:r>
                  <a:rPr lang="en-US"/>
                  <a:t> [years]</a:t>
                </a:r>
              </a:p>
            </c:rich>
          </c:tx>
          <c:layout>
            <c:manualLayout>
              <c:xMode val="edge"/>
              <c:yMode val="edge"/>
              <c:x val="0.58435307209351661"/>
              <c:y val="0.906297860728296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600480"/>
        <c:crosses val="autoZero"/>
        <c:crossBetween val="midCat"/>
        <c:majorUnit val="10"/>
        <c:minorUnit val="5"/>
      </c:valAx>
      <c:valAx>
        <c:axId val="46960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Return level, </a:t>
                </a:r>
                <a:r>
                  <a:rPr lang="en-US" i="1"/>
                  <a:t>Q</a:t>
                </a:r>
                <a:r>
                  <a:rPr lang="en-US"/>
                  <a:t> [m</a:t>
                </a:r>
                <a:r>
                  <a:rPr lang="en-US" baseline="30000"/>
                  <a:t>3</a:t>
                </a:r>
                <a:r>
                  <a:rPr lang="en-US"/>
                  <a:t>/s]</a:t>
                </a:r>
              </a:p>
            </c:rich>
          </c:tx>
          <c:layout>
            <c:manualLayout>
              <c:xMode val="edge"/>
              <c:yMode val="edge"/>
              <c:x val="7.9370078740157481E-3"/>
              <c:y val="2.27701224846894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600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453586290863406"/>
          <c:y val="8.047712063467817E-2"/>
          <c:w val="0.32959537939944761"/>
          <c:h val="0.2790243113726915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chart" Target="../charts/chart2.xml"/><Relationship Id="rId7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3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420260</xdr:colOff>
      <xdr:row>3</xdr:row>
      <xdr:rowOff>11050</xdr:rowOff>
    </xdr:from>
    <xdr:to>
      <xdr:col>23</xdr:col>
      <xdr:colOff>114133</xdr:colOff>
      <xdr:row>17</xdr:row>
      <xdr:rowOff>119897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E51055-1D64-4CE5-AAA7-C3B0665B6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76370</xdr:colOff>
      <xdr:row>16</xdr:row>
      <xdr:rowOff>151159</xdr:rowOff>
    </xdr:from>
    <xdr:to>
      <xdr:col>11</xdr:col>
      <xdr:colOff>731827</xdr:colOff>
      <xdr:row>22</xdr:row>
      <xdr:rowOff>156868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F38789-5A0A-4CE2-9F9C-D295928FC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70" y="3199159"/>
          <a:ext cx="7580132" cy="11487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148529</xdr:rowOff>
    </xdr:from>
    <xdr:to>
      <xdr:col>8</xdr:col>
      <xdr:colOff>478810</xdr:colOff>
      <xdr:row>28</xdr:row>
      <xdr:rowOff>69973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13658C-EC41-433F-8571-06B9C18BD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530029"/>
          <a:ext cx="5574685" cy="873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12</xdr:col>
      <xdr:colOff>263375</xdr:colOff>
      <xdr:row>30</xdr:row>
      <xdr:rowOff>32695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F7A33E-ECF2-4468-9837-CC64595C6A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4471" b="48937"/>
        <a:stretch/>
      </xdr:blipFill>
      <xdr:spPr>
        <a:xfrm>
          <a:off x="0" y="4762500"/>
          <a:ext cx="7769075" cy="985195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22</xdr:row>
      <xdr:rowOff>142875</xdr:rowOff>
    </xdr:from>
    <xdr:to>
      <xdr:col>21</xdr:col>
      <xdr:colOff>122655</xdr:colOff>
      <xdr:row>28</xdr:row>
      <xdr:rowOff>38321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8D023A-2733-47FE-A952-12C9E3B42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4333875"/>
          <a:ext cx="5142330" cy="1038446"/>
        </a:xfrm>
        <a:prstGeom prst="rect">
          <a:avLst/>
        </a:prstGeom>
      </xdr:spPr>
    </xdr:pic>
    <xdr:clientData/>
  </xdr:twoCellAnchor>
  <xdr:twoCellAnchor editAs="oneCell">
    <xdr:from>
      <xdr:col>12</xdr:col>
      <xdr:colOff>277713</xdr:colOff>
      <xdr:row>13</xdr:row>
      <xdr:rowOff>142875</xdr:rowOff>
    </xdr:from>
    <xdr:to>
      <xdr:col>19</xdr:col>
      <xdr:colOff>86285</xdr:colOff>
      <xdr:row>20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088E1C-228C-4771-BEA1-639657263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83413" y="2619375"/>
          <a:ext cx="4075772" cy="131445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24</xdr:col>
      <xdr:colOff>78472</xdr:colOff>
      <xdr:row>11</xdr:row>
      <xdr:rowOff>51130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0F0148-FFA3-4E96-8ECA-FA1B793C0E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520" t="26745" r="24933" b="24702"/>
        <a:stretch/>
      </xdr:blipFill>
      <xdr:spPr>
        <a:xfrm>
          <a:off x="8724900" y="1143000"/>
          <a:ext cx="6174472" cy="100363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17</xdr:row>
      <xdr:rowOff>0</xdr:rowOff>
    </xdr:from>
    <xdr:to>
      <xdr:col>26</xdr:col>
      <xdr:colOff>241908</xdr:colOff>
      <xdr:row>20</xdr:row>
      <xdr:rowOff>39436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36">
              <a:extLst>
                <a:ext uri="{FF2B5EF4-FFF2-40B4-BE49-F238E27FC236}">
                  <a16:creationId xmlns:a16="http://schemas.microsoft.com/office/drawing/2014/main" id="{D663AF96-725F-3943-880A-09AE6D118C00}"/>
                </a:ext>
              </a:extLst>
            </xdr:cNvPr>
            <xdr:cNvSpPr txBox="1"/>
          </xdr:nvSpPr>
          <xdr:spPr>
            <a:xfrm>
              <a:off x="13601700" y="3238500"/>
              <a:ext cx="2680308" cy="610936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l-G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US" i="1">
                            <a:latin typeface="Cambria Math" panose="02040503050406030204" pitchFamily="18" charset="0"/>
                          </a:rPr>
                          <m:t>𝑋</m:t>
                        </m:r>
                      </m:sub>
                    </m:sSub>
                    <m:d>
                      <m:d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el-GR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b="0" i="1">
                        <a:latin typeface="Cambria Math" panose="02040503050406030204" pitchFamily="18" charset="0"/>
                      </a:rPr>
                      <m:t>1−</m:t>
                    </m:r>
                    <m:f>
                      <m:fPr>
                        <m:ctrlPr>
                          <a:rPr lang="en-US" sz="18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l-GR" sz="18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𝛵</m:t>
                        </m:r>
                      </m:den>
                    </m:f>
                  </m:oMath>
                </m:oMathPara>
              </a14:m>
              <a:endParaRPr lang="x-none"/>
            </a:p>
          </xdr:txBody>
        </xdr:sp>
      </mc:Choice>
      <mc:Fallback>
        <xdr:sp macro="" textlink="">
          <xdr:nvSpPr>
            <xdr:cNvPr id="6" name="TextBox 36">
              <a:extLst>
                <a:ext uri="{FF2B5EF4-FFF2-40B4-BE49-F238E27FC236}">
                  <a16:creationId xmlns:a16="http://schemas.microsoft.com/office/drawing/2014/main" id="{D663AF96-725F-3943-880A-09AE6D118C00}"/>
                </a:ext>
              </a:extLst>
            </xdr:cNvPr>
            <xdr:cNvSpPr txBox="1"/>
          </xdr:nvSpPr>
          <xdr:spPr>
            <a:xfrm>
              <a:off x="13601700" y="3238500"/>
              <a:ext cx="2680308" cy="610936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l-G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0" i="0">
                  <a:latin typeface="Cambria Math" panose="02040503050406030204" pitchFamily="18" charset="0"/>
                </a:rPr>
                <a:t>𝐹_</a:t>
              </a:r>
              <a:r>
                <a:rPr lang="en-US" i="0">
                  <a:latin typeface="Cambria Math" panose="02040503050406030204" pitchFamily="18" charset="0"/>
                </a:rPr>
                <a:t>𝑋 (𝑥)</a:t>
              </a:r>
              <a:r>
                <a:rPr lang="el-GR" b="0" i="0">
                  <a:latin typeface="Cambria Math" panose="02040503050406030204" pitchFamily="18" charset="0"/>
                </a:rPr>
                <a:t>=</a:t>
              </a:r>
              <a:r>
                <a:rPr lang="en-US" b="0" i="0">
                  <a:latin typeface="Cambria Math" panose="02040503050406030204" pitchFamily="18" charset="0"/>
                </a:rPr>
                <a:t>1−</a:t>
              </a:r>
              <a:r>
                <a:rPr lang="en-US" sz="1800" i="0">
                  <a:solidFill>
                    <a:schemeClr val="tx1"/>
                  </a:solidFill>
                  <a:latin typeface="Cambria Math" panose="02040503050406030204" pitchFamily="18" charset="0"/>
                </a:rPr>
                <a:t>1/</a:t>
              </a:r>
              <a:r>
                <a:rPr lang="el-GR" sz="18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𝛵</a:t>
              </a:r>
              <a:endParaRPr lang="x-none"/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208991</xdr:colOff>
      <xdr:row>0</xdr:row>
      <xdr:rowOff>19051</xdr:rowOff>
    </xdr:from>
    <xdr:to>
      <xdr:col>9</xdr:col>
      <xdr:colOff>1</xdr:colOff>
      <xdr:row>4</xdr:row>
      <xdr:rowOff>55911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7991" y="19051"/>
          <a:ext cx="2477060" cy="798860"/>
        </a:xfrm>
        <a:prstGeom prst="rect">
          <a:avLst/>
        </a:prstGeom>
      </xdr:spPr>
    </xdr:pic>
    <xdr:clientData/>
  </xdr:twoCellAnchor>
  <xdr:twoCellAnchor editAs="oneCell">
    <xdr:from>
      <xdr:col>18</xdr:col>
      <xdr:colOff>295275</xdr:colOff>
      <xdr:row>1</xdr:row>
      <xdr:rowOff>110049</xdr:rowOff>
    </xdr:from>
    <xdr:to>
      <xdr:col>28</xdr:col>
      <xdr:colOff>373747</xdr:colOff>
      <xdr:row>6</xdr:row>
      <xdr:rowOff>161179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20" t="26745" r="24933" b="24702"/>
        <a:stretch/>
      </xdr:blipFill>
      <xdr:spPr>
        <a:xfrm>
          <a:off x="12087225" y="300549"/>
          <a:ext cx="6174472" cy="1003630"/>
        </a:xfrm>
        <a:prstGeom prst="rect">
          <a:avLst/>
        </a:prstGeom>
      </xdr:spPr>
    </xdr:pic>
    <xdr:clientData/>
  </xdr:twoCellAnchor>
  <xdr:twoCellAnchor>
    <xdr:from>
      <xdr:col>18</xdr:col>
      <xdr:colOff>212912</xdr:colOff>
      <xdr:row>7</xdr:row>
      <xdr:rowOff>165005</xdr:rowOff>
    </xdr:from>
    <xdr:to>
      <xdr:col>27</xdr:col>
      <xdr:colOff>324971</xdr:colOff>
      <xdr:row>26</xdr:row>
      <xdr:rowOff>89647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18</xdr:col>
      <xdr:colOff>365068</xdr:colOff>
      <xdr:row>30</xdr:row>
      <xdr:rowOff>123556</xdr:rowOff>
    </xdr:from>
    <xdr:to>
      <xdr:col>32</xdr:col>
      <xdr:colOff>438539</xdr:colOff>
      <xdr:row>33</xdr:row>
      <xdr:rowOff>114109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57018" y="5838556"/>
          <a:ext cx="8607871" cy="562053"/>
        </a:xfrm>
        <a:prstGeom prst="rect">
          <a:avLst/>
        </a:prstGeom>
      </xdr:spPr>
    </xdr:pic>
    <xdr:clientData/>
  </xdr:twoCellAnchor>
  <xdr:twoCellAnchor editAs="oneCell">
    <xdr:from>
      <xdr:col>18</xdr:col>
      <xdr:colOff>399490</xdr:colOff>
      <xdr:row>28</xdr:row>
      <xdr:rowOff>53229</xdr:rowOff>
    </xdr:from>
    <xdr:to>
      <xdr:col>28</xdr:col>
      <xdr:colOff>330849</xdr:colOff>
      <xdr:row>31</xdr:row>
      <xdr:rowOff>79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91440" y="5387229"/>
          <a:ext cx="6027359" cy="5144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25</xdr:row>
      <xdr:rowOff>74636</xdr:rowOff>
    </xdr:from>
    <xdr:to>
      <xdr:col>11</xdr:col>
      <xdr:colOff>587225</xdr:colOff>
      <xdr:row>30</xdr:row>
      <xdr:rowOff>107331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14471" b="48937"/>
        <a:stretch/>
      </xdr:blipFill>
      <xdr:spPr>
        <a:xfrm>
          <a:off x="9525" y="4837136"/>
          <a:ext cx="7769075" cy="985195"/>
        </a:xfrm>
        <a:prstGeom prst="rect">
          <a:avLst/>
        </a:prstGeom>
      </xdr:spPr>
    </xdr:pic>
    <xdr:clientData/>
  </xdr:twoCellAnchor>
  <xdr:twoCellAnchor editAs="oneCell">
    <xdr:from>
      <xdr:col>28</xdr:col>
      <xdr:colOff>110595</xdr:colOff>
      <xdr:row>23</xdr:row>
      <xdr:rowOff>28747</xdr:rowOff>
    </xdr:from>
    <xdr:to>
      <xdr:col>36</xdr:col>
      <xdr:colOff>376125</xdr:colOff>
      <xdr:row>28</xdr:row>
      <xdr:rowOff>114693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067291" y="4410247"/>
          <a:ext cx="5168834" cy="1038446"/>
        </a:xfrm>
        <a:prstGeom prst="rect">
          <a:avLst/>
        </a:prstGeom>
      </xdr:spPr>
    </xdr:pic>
    <xdr:clientData/>
  </xdr:twoCellAnchor>
  <xdr:twoCellAnchor editAs="oneCell">
    <xdr:from>
      <xdr:col>28</xdr:col>
      <xdr:colOff>52942</xdr:colOff>
      <xdr:row>17</xdr:row>
      <xdr:rowOff>8673</xdr:rowOff>
    </xdr:from>
    <xdr:to>
      <xdr:col>36</xdr:col>
      <xdr:colOff>257175</xdr:colOff>
      <xdr:row>22</xdr:row>
      <xdr:rowOff>106083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940892" y="3247173"/>
          <a:ext cx="5081033" cy="10499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tsou\Dropbox\DUTh\DUTh%20-%20MSc%20Hydrometeorological%20risks\Lectures\Extremes\data_excels_extremes\Fit_demo_extremes.xlsx" TargetMode="External"/><Relationship Id="rId1" Type="http://schemas.openxmlformats.org/officeDocument/2006/relationships/externalLinkPath" Target="Fit_demo_extre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G1" t="str">
            <v>F_hat(x)</v>
          </cell>
        </row>
        <row r="2">
          <cell r="F2">
            <v>1.3</v>
          </cell>
          <cell r="G2">
            <v>6.6666666666666666E-2</v>
          </cell>
          <cell r="H2">
            <v>0.01</v>
          </cell>
          <cell r="I2">
            <v>-9.5863431670066053</v>
          </cell>
        </row>
        <row r="3">
          <cell r="F3">
            <v>2.13</v>
          </cell>
          <cell r="G3">
            <v>0.13333333333333333</v>
          </cell>
          <cell r="H3">
            <v>0.02</v>
          </cell>
          <cell r="I3">
            <v>-7.1753526036191442</v>
          </cell>
        </row>
        <row r="4">
          <cell r="F4">
            <v>2.8</v>
          </cell>
          <cell r="G4">
            <v>0.2</v>
          </cell>
          <cell r="H4">
            <v>0.03</v>
          </cell>
          <cell r="I4">
            <v>-5.5581268307207434</v>
          </cell>
        </row>
        <row r="5">
          <cell r="F5">
            <v>4.5</v>
          </cell>
          <cell r="G5">
            <v>0.26666666666666666</v>
          </cell>
          <cell r="H5">
            <v>0.04</v>
          </cell>
          <cell r="I5">
            <v>-4.2929169016225099</v>
          </cell>
        </row>
        <row r="6">
          <cell r="F6">
            <v>9</v>
          </cell>
          <cell r="G6">
            <v>0.33333333333333331</v>
          </cell>
          <cell r="H6">
            <v>0.05</v>
          </cell>
          <cell r="I6">
            <v>-3.2310689381391722</v>
          </cell>
        </row>
        <row r="7">
          <cell r="F7">
            <v>9.3000000000000007</v>
          </cell>
          <cell r="G7">
            <v>0.4</v>
          </cell>
          <cell r="H7">
            <v>0.06</v>
          </cell>
          <cell r="I7">
            <v>-2.3030141544510183</v>
          </cell>
        </row>
        <row r="8">
          <cell r="F8">
            <v>19</v>
          </cell>
          <cell r="G8">
            <v>0.46666666666666667</v>
          </cell>
          <cell r="H8">
            <v>7.0000000000000007E-2</v>
          </cell>
          <cell r="I8">
            <v>-1.4701656317188849</v>
          </cell>
        </row>
        <row r="9">
          <cell r="F9">
            <v>23</v>
          </cell>
          <cell r="G9">
            <v>0.53333333333333333</v>
          </cell>
          <cell r="H9">
            <v>0.08</v>
          </cell>
          <cell r="I9">
            <v>-0.70872401843100441</v>
          </cell>
        </row>
        <row r="10">
          <cell r="F10">
            <v>26.4</v>
          </cell>
          <cell r="G10">
            <v>0.6</v>
          </cell>
          <cell r="H10">
            <v>0.09</v>
          </cell>
          <cell r="I10">
            <v>-2.8945295907618629E-3</v>
          </cell>
        </row>
        <row r="11">
          <cell r="F11">
            <v>27</v>
          </cell>
          <cell r="G11">
            <v>0.66666666666666663</v>
          </cell>
          <cell r="H11">
            <v>0.1</v>
          </cell>
          <cell r="I11">
            <v>0.65838562322731775</v>
          </cell>
        </row>
        <row r="12">
          <cell r="F12">
            <v>30</v>
          </cell>
          <cell r="G12">
            <v>0.73333333333333328</v>
          </cell>
          <cell r="H12">
            <v>0.11</v>
          </cell>
          <cell r="I12">
            <v>1.283192639646332</v>
          </cell>
        </row>
        <row r="13">
          <cell r="F13">
            <v>34.5</v>
          </cell>
          <cell r="G13">
            <v>0.8</v>
          </cell>
          <cell r="H13">
            <v>0.12</v>
          </cell>
          <cell r="I13">
            <v>1.8776197946738105</v>
          </cell>
        </row>
        <row r="14">
          <cell r="F14">
            <v>45.3</v>
          </cell>
          <cell r="G14">
            <v>0.8666666666666667</v>
          </cell>
          <cell r="H14">
            <v>0.13</v>
          </cell>
          <cell r="I14">
            <v>2.4463895155772839</v>
          </cell>
        </row>
        <row r="15">
          <cell r="F15">
            <v>67</v>
          </cell>
          <cell r="G15">
            <v>0.93333333333333335</v>
          </cell>
          <cell r="H15">
            <v>0.14000000000000001</v>
          </cell>
          <cell r="I15">
            <v>2.9932447233108572</v>
          </cell>
        </row>
        <row r="16">
          <cell r="H16">
            <v>0.15</v>
          </cell>
          <cell r="I16">
            <v>3.5212089708537402</v>
          </cell>
        </row>
        <row r="17">
          <cell r="H17">
            <v>0.16</v>
          </cell>
          <cell r="I17">
            <v>4.0327651003129343</v>
          </cell>
        </row>
        <row r="18">
          <cell r="H18">
            <v>0.17</v>
          </cell>
          <cell r="I18">
            <v>4.5299813956923103</v>
          </cell>
        </row>
        <row r="19">
          <cell r="H19">
            <v>0.18</v>
          </cell>
          <cell r="I19">
            <v>5.0146028206018487</v>
          </cell>
        </row>
        <row r="20">
          <cell r="H20">
            <v>0.19</v>
          </cell>
          <cell r="I20">
            <v>5.4881183970645484</v>
          </cell>
        </row>
        <row r="21">
          <cell r="H21">
            <v>0.2</v>
          </cell>
          <cell r="I21">
            <v>5.9518118886114104</v>
          </cell>
        </row>
        <row r="22">
          <cell r="H22">
            <v>0.21</v>
          </cell>
          <cell r="I22">
            <v>6.4068005533317205</v>
          </cell>
        </row>
        <row r="23">
          <cell r="H23">
            <v>0.22</v>
          </cell>
          <cell r="I23">
            <v>6.8540652126364909</v>
          </cell>
        </row>
        <row r="24">
          <cell r="H24">
            <v>0.23</v>
          </cell>
          <cell r="I24">
            <v>7.2944738929328228</v>
          </cell>
        </row>
        <row r="25">
          <cell r="H25">
            <v>0.24</v>
          </cell>
          <cell r="I25">
            <v>7.728800639576888</v>
          </cell>
        </row>
        <row r="26">
          <cell r="H26">
            <v>0.25</v>
          </cell>
          <cell r="I26">
            <v>8.1577406556541305</v>
          </cell>
        </row>
        <row r="27">
          <cell r="H27">
            <v>0.26</v>
          </cell>
          <cell r="I27">
            <v>8.5819226089720129</v>
          </cell>
        </row>
        <row r="28">
          <cell r="H28">
            <v>0.27</v>
          </cell>
          <cell r="I28">
            <v>9.001918733113941</v>
          </cell>
        </row>
        <row r="29">
          <cell r="H29">
            <v>0.28000000000000003</v>
          </cell>
          <cell r="I29">
            <v>9.4182531929800177</v>
          </cell>
        </row>
        <row r="30">
          <cell r="H30">
            <v>0.28999999999999998</v>
          </cell>
          <cell r="I30">
            <v>9.8314090726342975</v>
          </cell>
        </row>
        <row r="31">
          <cell r="H31">
            <v>0.3</v>
          </cell>
          <cell r="I31">
            <v>10.241834260643159</v>
          </cell>
        </row>
        <row r="32">
          <cell r="H32">
            <v>0.31</v>
          </cell>
          <cell r="I32">
            <v>10.649946446731985</v>
          </cell>
        </row>
        <row r="33">
          <cell r="H33">
            <v>0.32</v>
          </cell>
          <cell r="I33">
            <v>11.056137397534934</v>
          </cell>
        </row>
        <row r="34">
          <cell r="H34">
            <v>0.33</v>
          </cell>
          <cell r="I34">
            <v>11.460776644304062</v>
          </cell>
        </row>
        <row r="35">
          <cell r="H35">
            <v>0.34</v>
          </cell>
          <cell r="I35">
            <v>11.864214688741884</v>
          </cell>
        </row>
        <row r="36">
          <cell r="H36">
            <v>0.35</v>
          </cell>
          <cell r="I36">
            <v>12.266785812528788</v>
          </cell>
        </row>
        <row r="37">
          <cell r="H37">
            <v>0.36</v>
          </cell>
          <cell r="I37">
            <v>12.668810560117635</v>
          </cell>
        </row>
        <row r="38">
          <cell r="H38">
            <v>0.37</v>
          </cell>
          <cell r="I38">
            <v>13.070597951857211</v>
          </cell>
        </row>
        <row r="39">
          <cell r="H39">
            <v>0.38</v>
          </cell>
          <cell r="I39">
            <v>13.472447474670256</v>
          </cell>
        </row>
        <row r="40">
          <cell r="H40">
            <v>0.39</v>
          </cell>
          <cell r="I40">
            <v>13.874650889744705</v>
          </cell>
        </row>
        <row r="41">
          <cell r="H41">
            <v>0.4</v>
          </cell>
          <cell r="I41">
            <v>14.277493890546856</v>
          </cell>
        </row>
        <row r="42">
          <cell r="H42">
            <v>0.41</v>
          </cell>
          <cell r="I42">
            <v>14.68125763959068</v>
          </cell>
        </row>
        <row r="43">
          <cell r="H43">
            <v>0.42</v>
          </cell>
          <cell r="I43">
            <v>15.086220208540428</v>
          </cell>
        </row>
        <row r="44">
          <cell r="H44">
            <v>0.43</v>
          </cell>
          <cell r="I44">
            <v>15.492657943187446</v>
          </cell>
        </row>
        <row r="45">
          <cell r="H45">
            <v>0.44</v>
          </cell>
          <cell r="I45">
            <v>15.900846772477834</v>
          </cell>
        </row>
        <row r="46">
          <cell r="H46">
            <v>0.45</v>
          </cell>
          <cell r="I46">
            <v>16.311063478961479</v>
          </cell>
        </row>
        <row r="47">
          <cell r="H47">
            <v>0.46</v>
          </cell>
          <cell r="I47">
            <v>16.723586946700241</v>
          </cell>
        </row>
        <row r="48">
          <cell r="H48">
            <v>0.47</v>
          </cell>
          <cell r="I48">
            <v>17.138699401750554</v>
          </cell>
        </row>
        <row r="49">
          <cell r="H49">
            <v>0.48</v>
          </cell>
          <cell r="I49">
            <v>17.556687659778593</v>
          </cell>
        </row>
        <row r="50">
          <cell r="H50">
            <v>0.49</v>
          </cell>
          <cell r="I50">
            <v>17.977844395144324</v>
          </cell>
        </row>
        <row r="51">
          <cell r="H51">
            <v>0.5</v>
          </cell>
          <cell r="I51">
            <v>18.402469445888052</v>
          </cell>
        </row>
        <row r="52">
          <cell r="H52">
            <v>0.51</v>
          </cell>
          <cell r="I52">
            <v>18.830871169463613</v>
          </cell>
        </row>
        <row r="53">
          <cell r="H53">
            <v>0.52</v>
          </cell>
          <cell r="I53">
            <v>19.263367864793082</v>
          </cell>
        </row>
        <row r="54">
          <cell r="H54">
            <v>0.53</v>
          </cell>
          <cell r="I54">
            <v>19.700289277285862</v>
          </cell>
        </row>
        <row r="55">
          <cell r="H55">
            <v>0.54</v>
          </cell>
          <cell r="I55">
            <v>20.14197820489969</v>
          </cell>
        </row>
        <row r="56">
          <cell r="H56">
            <v>0.55000000000000004</v>
          </cell>
          <cell r="I56">
            <v>20.588792225164646</v>
          </cell>
        </row>
        <row r="57">
          <cell r="H57">
            <v>0.56000000000000005</v>
          </cell>
          <cell r="I57">
            <v>21.041105565401345</v>
          </cell>
        </row>
        <row r="58">
          <cell r="H58">
            <v>0.56999999999999995</v>
          </cell>
          <cell r="I58">
            <v>21.499311141215777</v>
          </cell>
        </row>
        <row r="59">
          <cell r="H59">
            <v>0.57999999999999996</v>
          </cell>
          <cell r="I59">
            <v>21.963822791842553</v>
          </cell>
        </row>
        <row r="60">
          <cell r="H60">
            <v>0.59</v>
          </cell>
          <cell r="I60">
            <v>22.435077745158054</v>
          </cell>
        </row>
        <row r="61">
          <cell r="H61">
            <v>0.6</v>
          </cell>
          <cell r="I61">
            <v>22.913539350351556</v>
          </cell>
        </row>
        <row r="62">
          <cell r="H62">
            <v>0.61</v>
          </cell>
          <cell r="I62">
            <v>23.399700122522614</v>
          </cell>
        </row>
        <row r="63">
          <cell r="H63">
            <v>0.62</v>
          </cell>
          <cell r="I63">
            <v>23.894085151118009</v>
          </cell>
        </row>
        <row r="64">
          <cell r="H64">
            <v>0.63</v>
          </cell>
          <cell r="I64">
            <v>24.397255933450531</v>
          </cell>
        </row>
        <row r="65">
          <cell r="H65">
            <v>0.64</v>
          </cell>
          <cell r="I65">
            <v>24.9098147059624</v>
          </cell>
        </row>
        <row r="66">
          <cell r="H66">
            <v>0.65</v>
          </cell>
          <cell r="I66">
            <v>25.432409359932876</v>
          </cell>
        </row>
        <row r="67">
          <cell r="H67">
            <v>0.66</v>
          </cell>
          <cell r="I67">
            <v>25.96573904565955</v>
          </cell>
        </row>
        <row r="68">
          <cell r="H68">
            <v>0.67</v>
          </cell>
          <cell r="I68">
            <v>26.51056059064608</v>
          </cell>
        </row>
        <row r="69">
          <cell r="H69">
            <v>0.68</v>
          </cell>
          <cell r="I69">
            <v>27.067695884158503</v>
          </cell>
        </row>
        <row r="70">
          <cell r="H70">
            <v>0.69</v>
          </cell>
          <cell r="I70">
            <v>27.638040414185994</v>
          </cell>
        </row>
        <row r="71">
          <cell r="H71">
            <v>0.7</v>
          </cell>
          <cell r="I71">
            <v>28.222573185378238</v>
          </cell>
        </row>
        <row r="72">
          <cell r="H72">
            <v>0.71</v>
          </cell>
          <cell r="I72">
            <v>28.822368300633627</v>
          </cell>
        </row>
        <row r="73">
          <cell r="H73">
            <v>0.72</v>
          </cell>
          <cell r="I73">
            <v>29.438608558332518</v>
          </cell>
        </row>
        <row r="74">
          <cell r="H74">
            <v>0.73</v>
          </cell>
          <cell r="I74">
            <v>30.072601506731552</v>
          </cell>
        </row>
        <row r="75">
          <cell r="H75">
            <v>0.74</v>
          </cell>
          <cell r="I75">
            <v>30.725798513622934</v>
          </cell>
        </row>
        <row r="76">
          <cell r="H76">
            <v>0.75</v>
          </cell>
          <cell r="I76">
            <v>31.399817562579543</v>
          </cell>
        </row>
        <row r="77">
          <cell r="H77">
            <v>0.76</v>
          </cell>
          <cell r="I77">
            <v>32.096470690420752</v>
          </cell>
        </row>
        <row r="78">
          <cell r="H78">
            <v>0.77</v>
          </cell>
          <cell r="I78">
            <v>32.817797253155575</v>
          </cell>
        </row>
        <row r="79">
          <cell r="H79">
            <v>0.78</v>
          </cell>
          <cell r="I79">
            <v>33.566104577347595</v>
          </cell>
        </row>
        <row r="80">
          <cell r="H80">
            <v>0.79</v>
          </cell>
          <cell r="I80">
            <v>34.344018061294037</v>
          </cell>
        </row>
        <row r="81">
          <cell r="H81">
            <v>0.8</v>
          </cell>
          <cell r="I81">
            <v>35.154543496196325</v>
          </cell>
        </row>
        <row r="82">
          <cell r="H82">
            <v>0.81</v>
          </cell>
          <cell r="I82">
            <v>36.001145373326203</v>
          </cell>
        </row>
        <row r="83">
          <cell r="H83">
            <v>0.82</v>
          </cell>
          <cell r="I83">
            <v>36.887846370442176</v>
          </cell>
        </row>
        <row r="84">
          <cell r="H84">
            <v>0.83</v>
          </cell>
          <cell r="I84">
            <v>37.819355291745815</v>
          </cell>
        </row>
        <row r="85">
          <cell r="H85">
            <v>0.84</v>
          </cell>
          <cell r="I85">
            <v>38.801233827971053</v>
          </cell>
        </row>
        <row r="86">
          <cell r="H86">
            <v>0.85</v>
          </cell>
          <cell r="I86">
            <v>39.840117195569981</v>
          </cell>
        </row>
        <row r="87">
          <cell r="H87">
            <v>0.86</v>
          </cell>
          <cell r="I87">
            <v>40.944011002612349</v>
          </cell>
        </row>
        <row r="88">
          <cell r="H88">
            <v>0.87</v>
          </cell>
          <cell r="I88">
            <v>42.12269831090105</v>
          </cell>
        </row>
        <row r="89">
          <cell r="H89">
            <v>0.88</v>
          </cell>
          <cell r="I89">
            <v>43.388309951440419</v>
          </cell>
        </row>
        <row r="90">
          <cell r="H90">
            <v>0.89</v>
          </cell>
          <cell r="I90">
            <v>44.75614357389108</v>
          </cell>
        </row>
        <row r="91">
          <cell r="H91">
            <v>0.9</v>
          </cell>
          <cell r="I91">
            <v>46.245874163560117</v>
          </cell>
        </row>
        <row r="92">
          <cell r="H92">
            <v>0.91</v>
          </cell>
          <cell r="I92">
            <v>47.883404518442831</v>
          </cell>
        </row>
        <row r="93">
          <cell r="H93">
            <v>0.92</v>
          </cell>
          <cell r="I93">
            <v>49.703810211145182</v>
          </cell>
        </row>
        <row r="94">
          <cell r="H94">
            <v>0.93</v>
          </cell>
          <cell r="I94">
            <v>51.756261379622991</v>
          </cell>
        </row>
        <row r="95">
          <cell r="H95">
            <v>0.94</v>
          </cell>
          <cell r="I95">
            <v>54.112764246287583</v>
          </cell>
        </row>
        <row r="96">
          <cell r="H96">
            <v>0.95</v>
          </cell>
          <cell r="I96">
            <v>56.884944826447899</v>
          </cell>
        </row>
        <row r="97">
          <cell r="H97">
            <v>0.96</v>
          </cell>
          <cell r="I97">
            <v>60.259799864321856</v>
          </cell>
        </row>
        <row r="98">
          <cell r="H98">
            <v>0.97</v>
          </cell>
          <cell r="I98">
            <v>64.587872689478488</v>
          </cell>
        </row>
        <row r="99">
          <cell r="H99">
            <v>0.98</v>
          </cell>
          <cell r="I99">
            <v>70.656130505213213</v>
          </cell>
        </row>
        <row r="100">
          <cell r="H100">
            <v>0.99</v>
          </cell>
          <cell r="I100">
            <v>80.975696272573032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DD50-20D3-4592-B3AD-EC6646575CD8}">
  <dimension ref="A1:M103"/>
  <sheetViews>
    <sheetView zoomScale="98" workbookViewId="0">
      <selection activeCell="L27" sqref="L27"/>
    </sheetView>
  </sheetViews>
  <sheetFormatPr defaultRowHeight="15" x14ac:dyDescent="0.25"/>
  <cols>
    <col min="5" max="5" width="5.42578125" bestFit="1" customWidth="1"/>
    <col min="6" max="6" width="12.140625" bestFit="1" customWidth="1"/>
    <col min="7" max="8" width="11.140625" customWidth="1"/>
    <col min="12" max="12" width="31.5703125" bestFit="1" customWidth="1"/>
  </cols>
  <sheetData>
    <row r="1" spans="1:13" x14ac:dyDescent="0.25">
      <c r="A1" t="s">
        <v>36</v>
      </c>
      <c r="E1" t="s">
        <v>9</v>
      </c>
      <c r="F1" t="s">
        <v>37</v>
      </c>
      <c r="G1" t="s">
        <v>38</v>
      </c>
      <c r="H1" t="s">
        <v>39</v>
      </c>
      <c r="I1" t="s">
        <v>40</v>
      </c>
      <c r="L1" t="s">
        <v>41</v>
      </c>
      <c r="M1">
        <f>0.78*M9</f>
        <v>14.780019420922867</v>
      </c>
    </row>
    <row r="2" spans="1:13" x14ac:dyDescent="0.25">
      <c r="A2">
        <v>4.5</v>
      </c>
      <c r="C2">
        <v>1.3</v>
      </c>
      <c r="E2">
        <v>1</v>
      </c>
      <c r="F2">
        <f>SMALL($A$2:$A$15,E2)</f>
        <v>1.3</v>
      </c>
      <c r="G2" s="1">
        <f>E2/($K$5+1)</f>
        <v>6.6666666666666666E-2</v>
      </c>
      <c r="H2" s="1">
        <v>0.01</v>
      </c>
      <c r="I2">
        <f>lambda*psi-lambda*LN(-LN(H2))</f>
        <v>-9.5863431670066053</v>
      </c>
      <c r="J2" t="s">
        <v>42</v>
      </c>
      <c r="L2" t="s">
        <v>43</v>
      </c>
      <c r="M2">
        <f>(M8/lambda)-0.5772</f>
        <v>0.87857809870598136</v>
      </c>
    </row>
    <row r="3" spans="1:13" x14ac:dyDescent="0.25">
      <c r="A3">
        <v>2.13</v>
      </c>
      <c r="C3">
        <v>2.13</v>
      </c>
      <c r="E3">
        <v>2</v>
      </c>
      <c r="F3">
        <f>SMALL($A$2:$A$15,E3)</f>
        <v>2.13</v>
      </c>
      <c r="G3" s="1">
        <f t="shared" ref="G3:G15" si="0">E3/($K$5+1)</f>
        <v>0.13333333333333333</v>
      </c>
      <c r="H3" s="1">
        <v>0.02</v>
      </c>
      <c r="I3">
        <f>lambda*psi-lambda*LN(-LN(H3))</f>
        <v>-7.1753526036191442</v>
      </c>
      <c r="J3" t="s">
        <v>44</v>
      </c>
      <c r="L3" t="s">
        <v>45</v>
      </c>
      <c r="M3">
        <f>lambda*(psi+0.5772)</f>
        <v>21.516428571428573</v>
      </c>
    </row>
    <row r="4" spans="1:13" x14ac:dyDescent="0.25">
      <c r="A4">
        <v>9</v>
      </c>
      <c r="C4">
        <v>2.8</v>
      </c>
      <c r="E4">
        <v>3</v>
      </c>
      <c r="F4">
        <f>SMALL($A$2:$A$15,E4)</f>
        <v>2.8</v>
      </c>
      <c r="G4" s="1">
        <f t="shared" si="0"/>
        <v>0.2</v>
      </c>
      <c r="H4" s="1">
        <v>0.03</v>
      </c>
      <c r="I4">
        <f>lambda*psi-lambda*LN(-LN(H4))</f>
        <v>-5.5581268307207434</v>
      </c>
      <c r="L4" t="s">
        <v>46</v>
      </c>
      <c r="M4" s="5">
        <f>SQRT(1.645*lambda^2)</f>
        <v>18.95649129892713</v>
      </c>
    </row>
    <row r="5" spans="1:13" x14ac:dyDescent="0.25">
      <c r="A5">
        <v>27</v>
      </c>
      <c r="C5">
        <v>4.5</v>
      </c>
      <c r="E5">
        <v>4</v>
      </c>
      <c r="F5">
        <f>SMALL($A$2:$A$15,E5)</f>
        <v>4.5</v>
      </c>
      <c r="G5" s="1">
        <f t="shared" si="0"/>
        <v>0.26666666666666666</v>
      </c>
      <c r="H5" s="1">
        <v>0.04</v>
      </c>
      <c r="I5">
        <f>lambda*psi-lambda*LN(-LN(H5))</f>
        <v>-4.2929169016225099</v>
      </c>
      <c r="J5" t="s">
        <v>47</v>
      </c>
      <c r="K5">
        <f>COUNT(A2:A17)</f>
        <v>14</v>
      </c>
    </row>
    <row r="6" spans="1:13" x14ac:dyDescent="0.25">
      <c r="A6">
        <v>30</v>
      </c>
      <c r="C6">
        <v>9</v>
      </c>
      <c r="E6">
        <v>5</v>
      </c>
      <c r="F6">
        <f>SMALL($A$2:$A$15,E6)</f>
        <v>9</v>
      </c>
      <c r="G6" s="1">
        <f t="shared" si="0"/>
        <v>0.33333333333333331</v>
      </c>
      <c r="H6" s="1">
        <v>0.05</v>
      </c>
      <c r="I6">
        <f>lambda*psi-lambda*LN(-LN(H6))</f>
        <v>-3.2310689381391722</v>
      </c>
    </row>
    <row r="7" spans="1:13" x14ac:dyDescent="0.25">
      <c r="A7">
        <v>67</v>
      </c>
      <c r="C7">
        <v>9.3000000000000007</v>
      </c>
      <c r="E7">
        <v>6</v>
      </c>
      <c r="F7">
        <f>SMALL($A$2:$A$15,E7)</f>
        <v>9.3000000000000007</v>
      </c>
      <c r="G7" s="1">
        <f t="shared" si="0"/>
        <v>0.4</v>
      </c>
      <c r="H7" s="1">
        <v>0.06</v>
      </c>
      <c r="I7">
        <f>lambda*psi-lambda*LN(-LN(H7))</f>
        <v>-2.3030141544510183</v>
      </c>
    </row>
    <row r="8" spans="1:13" x14ac:dyDescent="0.25">
      <c r="A8">
        <v>34.5</v>
      </c>
      <c r="C8">
        <v>19</v>
      </c>
      <c r="E8">
        <v>7</v>
      </c>
      <c r="F8">
        <f>SMALL($A$2:$A$15,E8)</f>
        <v>19</v>
      </c>
      <c r="G8" s="1">
        <f t="shared" si="0"/>
        <v>0.46666666666666667</v>
      </c>
      <c r="H8" s="1">
        <v>7.0000000000000007E-2</v>
      </c>
      <c r="I8">
        <f>lambda*psi-lambda*LN(-LN(H8))</f>
        <v>-1.4701656317188849</v>
      </c>
      <c r="L8" t="s">
        <v>29</v>
      </c>
      <c r="M8">
        <f>AVERAGE(A2:A15)</f>
        <v>21.516428571428573</v>
      </c>
    </row>
    <row r="9" spans="1:13" x14ac:dyDescent="0.25">
      <c r="A9">
        <v>9.3000000000000007</v>
      </c>
      <c r="C9">
        <v>23</v>
      </c>
      <c r="E9">
        <v>8</v>
      </c>
      <c r="F9">
        <f>SMALL($A$2:$A$15,E9)</f>
        <v>23</v>
      </c>
      <c r="G9" s="1">
        <f t="shared" si="0"/>
        <v>0.53333333333333333</v>
      </c>
      <c r="H9" s="1">
        <v>0.08</v>
      </c>
      <c r="I9">
        <f>lambda*psi-lambda*LN(-LN(H9))</f>
        <v>-0.70872401843100441</v>
      </c>
      <c r="L9" t="s">
        <v>28</v>
      </c>
      <c r="M9">
        <f>_xlfn.STDEV.S(A2:A15)</f>
        <v>18.948742847337009</v>
      </c>
    </row>
    <row r="10" spans="1:13" x14ac:dyDescent="0.25">
      <c r="A10">
        <v>2.8</v>
      </c>
      <c r="C10">
        <v>26.4</v>
      </c>
      <c r="E10">
        <v>9</v>
      </c>
      <c r="F10">
        <f>SMALL($A$2:$A$15,E10)</f>
        <v>26.4</v>
      </c>
      <c r="G10" s="1">
        <f t="shared" si="0"/>
        <v>0.6</v>
      </c>
      <c r="H10" s="1">
        <v>0.09</v>
      </c>
      <c r="I10">
        <f>lambda*psi-lambda*LN(-LN(H10))</f>
        <v>-2.8945295907618629E-3</v>
      </c>
    </row>
    <row r="11" spans="1:13" x14ac:dyDescent="0.25">
      <c r="A11">
        <v>19</v>
      </c>
      <c r="C11">
        <v>27</v>
      </c>
      <c r="E11">
        <v>10</v>
      </c>
      <c r="F11">
        <f>SMALL($A$2:$A$15,E11)</f>
        <v>27</v>
      </c>
      <c r="G11" s="1">
        <f t="shared" si="0"/>
        <v>0.66666666666666663</v>
      </c>
      <c r="H11" s="1">
        <v>0.1</v>
      </c>
      <c r="I11">
        <f>lambda*psi-lambda*LN(-LN(H11))</f>
        <v>0.65838562322731775</v>
      </c>
    </row>
    <row r="12" spans="1:13" x14ac:dyDescent="0.25">
      <c r="A12">
        <v>23</v>
      </c>
      <c r="C12">
        <v>30</v>
      </c>
      <c r="E12">
        <v>11</v>
      </c>
      <c r="F12">
        <f>SMALL($A$2:$A$15,E12)</f>
        <v>30</v>
      </c>
      <c r="G12" s="1">
        <f t="shared" si="0"/>
        <v>0.73333333333333328</v>
      </c>
      <c r="H12" s="1">
        <v>0.11</v>
      </c>
      <c r="I12">
        <f>lambda*psi-lambda*LN(-LN(H12))</f>
        <v>1.283192639646332</v>
      </c>
      <c r="K12" t="s">
        <v>33</v>
      </c>
      <c r="L12">
        <v>100</v>
      </c>
    </row>
    <row r="13" spans="1:13" x14ac:dyDescent="0.25">
      <c r="A13">
        <v>45.3</v>
      </c>
      <c r="C13">
        <v>34.5</v>
      </c>
      <c r="E13">
        <v>12</v>
      </c>
      <c r="F13">
        <f>SMALL($A$2:$A$15,E13)</f>
        <v>34.5</v>
      </c>
      <c r="G13" s="1">
        <f t="shared" si="0"/>
        <v>0.8</v>
      </c>
      <c r="H13" s="1">
        <v>0.12</v>
      </c>
      <c r="I13">
        <f>lambda*psi-lambda*LN(-LN(H13))</f>
        <v>1.8776197946738105</v>
      </c>
      <c r="K13" t="s">
        <v>48</v>
      </c>
      <c r="L13">
        <f>EXP(-EXP(-L12/lambda+psi))</f>
        <v>0.99722942324546049</v>
      </c>
    </row>
    <row r="14" spans="1:13" x14ac:dyDescent="0.25">
      <c r="A14">
        <v>1.3</v>
      </c>
      <c r="C14">
        <v>45.3</v>
      </c>
      <c r="E14">
        <v>13</v>
      </c>
      <c r="F14">
        <f>SMALL($A$2:$A$15,E14)</f>
        <v>45.3</v>
      </c>
      <c r="G14" s="1">
        <f t="shared" si="0"/>
        <v>0.8666666666666667</v>
      </c>
      <c r="H14" s="1">
        <v>0.13</v>
      </c>
      <c r="I14">
        <f>lambda*psi-lambda*LN(-LN(H14))</f>
        <v>2.4463895155772839</v>
      </c>
      <c r="K14" t="s">
        <v>49</v>
      </c>
      <c r="L14" s="23">
        <f>1-L13</f>
        <v>2.770576754539511E-3</v>
      </c>
    </row>
    <row r="15" spans="1:13" x14ac:dyDescent="0.25">
      <c r="A15">
        <v>26.4</v>
      </c>
      <c r="C15">
        <v>67</v>
      </c>
      <c r="E15">
        <v>14</v>
      </c>
      <c r="F15">
        <f>SMALL($A$2:$A$15,E15)</f>
        <v>67</v>
      </c>
      <c r="G15" s="1">
        <f t="shared" si="0"/>
        <v>0.93333333333333335</v>
      </c>
      <c r="H15" s="1">
        <v>0.14000000000000001</v>
      </c>
      <c r="I15">
        <f>lambda*psi-lambda*LN(-LN(H15))</f>
        <v>2.9932447233108572</v>
      </c>
    </row>
    <row r="16" spans="1:13" x14ac:dyDescent="0.25">
      <c r="H16" s="1">
        <v>0.15</v>
      </c>
      <c r="I16">
        <f>lambda*psi-lambda*LN(-LN(H16))</f>
        <v>3.5212089708537402</v>
      </c>
    </row>
    <row r="17" spans="8:12" x14ac:dyDescent="0.25">
      <c r="H17" s="1">
        <v>0.16</v>
      </c>
      <c r="I17">
        <f>lambda*psi-lambda*LN(-LN(H17))</f>
        <v>4.0327651003129343</v>
      </c>
    </row>
    <row r="18" spans="8:12" x14ac:dyDescent="0.25">
      <c r="H18" s="1">
        <v>0.17</v>
      </c>
      <c r="I18">
        <f>lambda*psi-lambda*LN(-LN(H18))</f>
        <v>4.5299813956923103</v>
      </c>
    </row>
    <row r="19" spans="8:12" x14ac:dyDescent="0.25">
      <c r="H19" s="1">
        <v>0.18</v>
      </c>
      <c r="I19">
        <f>lambda*psi-lambda*LN(-LN(H19))</f>
        <v>5.0146028206018487</v>
      </c>
    </row>
    <row r="20" spans="8:12" x14ac:dyDescent="0.25">
      <c r="H20" s="1">
        <v>0.19</v>
      </c>
      <c r="I20">
        <f>lambda*psi-lambda*LN(-LN(H20))</f>
        <v>5.4881183970645484</v>
      </c>
    </row>
    <row r="21" spans="8:12" x14ac:dyDescent="0.25">
      <c r="H21" s="1">
        <v>0.2</v>
      </c>
      <c r="I21">
        <f>lambda*psi-lambda*LN(-LN(H21))</f>
        <v>5.9518118886114104</v>
      </c>
    </row>
    <row r="22" spans="8:12" x14ac:dyDescent="0.25">
      <c r="H22" s="1">
        <v>0.21</v>
      </c>
      <c r="I22">
        <f>lambda*psi-lambda*LN(-LN(H22))</f>
        <v>6.4068005533317205</v>
      </c>
    </row>
    <row r="23" spans="8:12" x14ac:dyDescent="0.25">
      <c r="H23" s="1">
        <v>0.22</v>
      </c>
      <c r="I23">
        <f>lambda*psi-lambda*LN(-LN(H23))</f>
        <v>6.8540652126364909</v>
      </c>
    </row>
    <row r="24" spans="8:12" x14ac:dyDescent="0.25">
      <c r="H24" s="1">
        <v>0.23</v>
      </c>
      <c r="I24">
        <f>lambda*psi-lambda*LN(-LN(H24))</f>
        <v>7.2944738929328228</v>
      </c>
    </row>
    <row r="25" spans="8:12" x14ac:dyDescent="0.25">
      <c r="H25" s="1">
        <v>0.24</v>
      </c>
      <c r="I25">
        <f>lambda*psi-lambda*LN(-LN(H25))</f>
        <v>7.728800639576888</v>
      </c>
      <c r="K25" t="s">
        <v>50</v>
      </c>
      <c r="L25">
        <v>5.0000000000000001E-3</v>
      </c>
    </row>
    <row r="26" spans="8:12" x14ac:dyDescent="0.25">
      <c r="H26" s="1">
        <v>0.25</v>
      </c>
      <c r="I26">
        <f>lambda*psi-lambda*LN(-LN(H26))</f>
        <v>8.1577406556541305</v>
      </c>
      <c r="K26" t="s">
        <v>51</v>
      </c>
      <c r="L26">
        <f>1-L25</f>
        <v>0.995</v>
      </c>
    </row>
    <row r="27" spans="8:12" x14ac:dyDescent="0.25">
      <c r="H27" s="1">
        <v>0.26</v>
      </c>
      <c r="I27">
        <f>lambda*psi-lambda*LN(-LN(H27))</f>
        <v>8.5819226089720129</v>
      </c>
      <c r="K27" t="s">
        <v>52</v>
      </c>
      <c r="L27">
        <f>lambda*psi-lambda*LN(-LN(L26))</f>
        <v>91.257607677898704</v>
      </c>
    </row>
    <row r="28" spans="8:12" x14ac:dyDescent="0.25">
      <c r="H28" s="1">
        <v>0.27</v>
      </c>
      <c r="I28">
        <f>lambda*psi-lambda*LN(-LN(H28))</f>
        <v>9.001918733113941</v>
      </c>
    </row>
    <row r="29" spans="8:12" x14ac:dyDescent="0.25">
      <c r="H29" s="1">
        <v>0.28000000000000003</v>
      </c>
      <c r="I29">
        <f>lambda*psi-lambda*LN(-LN(H29))</f>
        <v>9.4182531929800177</v>
      </c>
    </row>
    <row r="30" spans="8:12" x14ac:dyDescent="0.25">
      <c r="H30" s="1">
        <v>0.28999999999999998</v>
      </c>
      <c r="I30">
        <f>lambda*psi-lambda*LN(-LN(H30))</f>
        <v>9.8314090726342975</v>
      </c>
    </row>
    <row r="31" spans="8:12" x14ac:dyDescent="0.25">
      <c r="H31" s="1">
        <v>0.3</v>
      </c>
      <c r="I31">
        <f>lambda*psi-lambda*LN(-LN(H31))</f>
        <v>10.241834260643159</v>
      </c>
    </row>
    <row r="32" spans="8:12" x14ac:dyDescent="0.25">
      <c r="H32" s="1">
        <v>0.31</v>
      </c>
      <c r="I32">
        <f>lambda*psi-lambda*LN(-LN(H32))</f>
        <v>10.649946446731985</v>
      </c>
    </row>
    <row r="33" spans="8:9" x14ac:dyDescent="0.25">
      <c r="H33" s="1">
        <v>0.32</v>
      </c>
      <c r="I33">
        <f>lambda*psi-lambda*LN(-LN(H33))</f>
        <v>11.056137397534934</v>
      </c>
    </row>
    <row r="34" spans="8:9" x14ac:dyDescent="0.25">
      <c r="H34" s="1">
        <v>0.33</v>
      </c>
      <c r="I34">
        <f>lambda*psi-lambda*LN(-LN(H34))</f>
        <v>11.460776644304062</v>
      </c>
    </row>
    <row r="35" spans="8:9" x14ac:dyDescent="0.25">
      <c r="H35" s="1">
        <v>0.34</v>
      </c>
      <c r="I35">
        <f>lambda*psi-lambda*LN(-LN(H35))</f>
        <v>11.864214688741884</v>
      </c>
    </row>
    <row r="36" spans="8:9" x14ac:dyDescent="0.25">
      <c r="H36" s="1">
        <v>0.35</v>
      </c>
      <c r="I36">
        <f>lambda*psi-lambda*LN(-LN(H36))</f>
        <v>12.266785812528788</v>
      </c>
    </row>
    <row r="37" spans="8:9" x14ac:dyDescent="0.25">
      <c r="H37" s="1">
        <v>0.36</v>
      </c>
      <c r="I37">
        <f>lambda*psi-lambda*LN(-LN(H37))</f>
        <v>12.668810560117635</v>
      </c>
    </row>
    <row r="38" spans="8:9" x14ac:dyDescent="0.25">
      <c r="H38" s="1">
        <v>0.37</v>
      </c>
      <c r="I38">
        <f>lambda*psi-lambda*LN(-LN(H38))</f>
        <v>13.070597951857211</v>
      </c>
    </row>
    <row r="39" spans="8:9" x14ac:dyDescent="0.25">
      <c r="H39" s="1">
        <v>0.38</v>
      </c>
      <c r="I39">
        <f>lambda*psi-lambda*LN(-LN(H39))</f>
        <v>13.472447474670256</v>
      </c>
    </row>
    <row r="40" spans="8:9" x14ac:dyDescent="0.25">
      <c r="H40" s="1">
        <v>0.39</v>
      </c>
      <c r="I40">
        <f>lambda*psi-lambda*LN(-LN(H40))</f>
        <v>13.874650889744705</v>
      </c>
    </row>
    <row r="41" spans="8:9" x14ac:dyDescent="0.25">
      <c r="H41" s="1">
        <v>0.4</v>
      </c>
      <c r="I41">
        <f>lambda*psi-lambda*LN(-LN(H41))</f>
        <v>14.277493890546856</v>
      </c>
    </row>
    <row r="42" spans="8:9" x14ac:dyDescent="0.25">
      <c r="H42" s="1">
        <v>0.41</v>
      </c>
      <c r="I42">
        <f>lambda*psi-lambda*LN(-LN(H42))</f>
        <v>14.68125763959068</v>
      </c>
    </row>
    <row r="43" spans="8:9" x14ac:dyDescent="0.25">
      <c r="H43" s="1">
        <v>0.42</v>
      </c>
      <c r="I43">
        <f>lambda*psi-lambda*LN(-LN(H43))</f>
        <v>15.086220208540428</v>
      </c>
    </row>
    <row r="44" spans="8:9" x14ac:dyDescent="0.25">
      <c r="H44" s="1">
        <v>0.43</v>
      </c>
      <c r="I44">
        <f>lambda*psi-lambda*LN(-LN(H44))</f>
        <v>15.492657943187446</v>
      </c>
    </row>
    <row r="45" spans="8:9" x14ac:dyDescent="0.25">
      <c r="H45" s="1">
        <v>0.44</v>
      </c>
      <c r="I45">
        <f>lambda*psi-lambda*LN(-LN(H45))</f>
        <v>15.900846772477834</v>
      </c>
    </row>
    <row r="46" spans="8:9" x14ac:dyDescent="0.25">
      <c r="H46" s="1">
        <v>0.45</v>
      </c>
      <c r="I46">
        <f>lambda*psi-lambda*LN(-LN(H46))</f>
        <v>16.311063478961479</v>
      </c>
    </row>
    <row r="47" spans="8:9" x14ac:dyDescent="0.25">
      <c r="H47" s="1">
        <v>0.46</v>
      </c>
      <c r="I47">
        <f>lambda*psi-lambda*LN(-LN(H47))</f>
        <v>16.723586946700241</v>
      </c>
    </row>
    <row r="48" spans="8:9" x14ac:dyDescent="0.25">
      <c r="H48" s="1">
        <v>0.47</v>
      </c>
      <c r="I48">
        <f>lambda*psi-lambda*LN(-LN(H48))</f>
        <v>17.138699401750554</v>
      </c>
    </row>
    <row r="49" spans="8:9" x14ac:dyDescent="0.25">
      <c r="H49" s="1">
        <v>0.48</v>
      </c>
      <c r="I49">
        <f>lambda*psi-lambda*LN(-LN(H49))</f>
        <v>17.556687659778593</v>
      </c>
    </row>
    <row r="50" spans="8:9" x14ac:dyDescent="0.25">
      <c r="H50" s="1">
        <v>0.49</v>
      </c>
      <c r="I50">
        <f>lambda*psi-lambda*LN(-LN(H50))</f>
        <v>17.977844395144324</v>
      </c>
    </row>
    <row r="51" spans="8:9" x14ac:dyDescent="0.25">
      <c r="H51" s="1">
        <v>0.5</v>
      </c>
      <c r="I51">
        <f>lambda*psi-lambda*LN(-LN(H51))</f>
        <v>18.402469445888052</v>
      </c>
    </row>
    <row r="52" spans="8:9" x14ac:dyDescent="0.25">
      <c r="H52" s="1">
        <v>0.51</v>
      </c>
      <c r="I52">
        <f>lambda*psi-lambda*LN(-LN(H52))</f>
        <v>18.830871169463613</v>
      </c>
    </row>
    <row r="53" spans="8:9" x14ac:dyDescent="0.25">
      <c r="H53" s="1">
        <v>0.52</v>
      </c>
      <c r="I53">
        <f>lambda*psi-lambda*LN(-LN(H53))</f>
        <v>19.263367864793082</v>
      </c>
    </row>
    <row r="54" spans="8:9" x14ac:dyDescent="0.25">
      <c r="H54" s="1">
        <v>0.53</v>
      </c>
      <c r="I54">
        <f>lambda*psi-lambda*LN(-LN(H54))</f>
        <v>19.700289277285862</v>
      </c>
    </row>
    <row r="55" spans="8:9" x14ac:dyDescent="0.25">
      <c r="H55" s="1">
        <v>0.54</v>
      </c>
      <c r="I55">
        <f>lambda*psi-lambda*LN(-LN(H55))</f>
        <v>20.14197820489969</v>
      </c>
    </row>
    <row r="56" spans="8:9" x14ac:dyDescent="0.25">
      <c r="H56" s="1">
        <v>0.55000000000000004</v>
      </c>
      <c r="I56">
        <f>lambda*psi-lambda*LN(-LN(H56))</f>
        <v>20.588792225164646</v>
      </c>
    </row>
    <row r="57" spans="8:9" x14ac:dyDescent="0.25">
      <c r="H57" s="1">
        <v>0.56000000000000005</v>
      </c>
      <c r="I57">
        <f>lambda*psi-lambda*LN(-LN(H57))</f>
        <v>21.041105565401345</v>
      </c>
    </row>
    <row r="58" spans="8:9" x14ac:dyDescent="0.25">
      <c r="H58" s="1">
        <v>0.56999999999999995</v>
      </c>
      <c r="I58">
        <f>lambda*psi-lambda*LN(-LN(H58))</f>
        <v>21.499311141215777</v>
      </c>
    </row>
    <row r="59" spans="8:9" x14ac:dyDescent="0.25">
      <c r="H59" s="1">
        <v>0.57999999999999996</v>
      </c>
      <c r="I59">
        <f>lambda*psi-lambda*LN(-LN(H59))</f>
        <v>21.963822791842553</v>
      </c>
    </row>
    <row r="60" spans="8:9" x14ac:dyDescent="0.25">
      <c r="H60" s="1">
        <v>0.59</v>
      </c>
      <c r="I60">
        <f>lambda*psi-lambda*LN(-LN(H60))</f>
        <v>22.435077745158054</v>
      </c>
    </row>
    <row r="61" spans="8:9" x14ac:dyDescent="0.25">
      <c r="H61" s="1">
        <v>0.6</v>
      </c>
      <c r="I61">
        <f>lambda*psi-lambda*LN(-LN(H61))</f>
        <v>22.913539350351556</v>
      </c>
    </row>
    <row r="62" spans="8:9" x14ac:dyDescent="0.25">
      <c r="H62" s="1">
        <v>0.61</v>
      </c>
      <c r="I62">
        <f>lambda*psi-lambda*LN(-LN(H62))</f>
        <v>23.399700122522614</v>
      </c>
    </row>
    <row r="63" spans="8:9" x14ac:dyDescent="0.25">
      <c r="H63" s="1">
        <v>0.62</v>
      </c>
      <c r="I63">
        <f>lambda*psi-lambda*LN(-LN(H63))</f>
        <v>23.894085151118009</v>
      </c>
    </row>
    <row r="64" spans="8:9" x14ac:dyDescent="0.25">
      <c r="H64" s="1">
        <v>0.63</v>
      </c>
      <c r="I64">
        <f>lambda*psi-lambda*LN(-LN(H64))</f>
        <v>24.397255933450531</v>
      </c>
    </row>
    <row r="65" spans="8:9" x14ac:dyDescent="0.25">
      <c r="H65" s="1">
        <v>0.64</v>
      </c>
      <c r="I65">
        <f>lambda*psi-lambda*LN(-LN(H65))</f>
        <v>24.9098147059624</v>
      </c>
    </row>
    <row r="66" spans="8:9" x14ac:dyDescent="0.25">
      <c r="H66" s="1">
        <v>0.65</v>
      </c>
      <c r="I66">
        <f>lambda*psi-lambda*LN(-LN(H66))</f>
        <v>25.432409359932876</v>
      </c>
    </row>
    <row r="67" spans="8:9" x14ac:dyDescent="0.25">
      <c r="H67" s="1">
        <v>0.66</v>
      </c>
      <c r="I67">
        <f>lambda*psi-lambda*LN(-LN(H67))</f>
        <v>25.96573904565955</v>
      </c>
    </row>
    <row r="68" spans="8:9" x14ac:dyDescent="0.25">
      <c r="H68" s="1">
        <v>0.67</v>
      </c>
      <c r="I68">
        <f>lambda*psi-lambda*LN(-LN(H68))</f>
        <v>26.51056059064608</v>
      </c>
    </row>
    <row r="69" spans="8:9" x14ac:dyDescent="0.25">
      <c r="H69" s="1">
        <v>0.68</v>
      </c>
      <c r="I69">
        <f>lambda*psi-lambda*LN(-LN(H69))</f>
        <v>27.067695884158503</v>
      </c>
    </row>
    <row r="70" spans="8:9" x14ac:dyDescent="0.25">
      <c r="H70" s="1">
        <v>0.69</v>
      </c>
      <c r="I70">
        <f>lambda*psi-lambda*LN(-LN(H70))</f>
        <v>27.638040414185994</v>
      </c>
    </row>
    <row r="71" spans="8:9" x14ac:dyDescent="0.25">
      <c r="H71" s="1">
        <v>0.7</v>
      </c>
      <c r="I71">
        <f>lambda*psi-lambda*LN(-LN(H71))</f>
        <v>28.222573185378238</v>
      </c>
    </row>
    <row r="72" spans="8:9" x14ac:dyDescent="0.25">
      <c r="H72" s="1">
        <v>0.71</v>
      </c>
      <c r="I72">
        <f>lambda*psi-lambda*LN(-LN(H72))</f>
        <v>28.822368300633627</v>
      </c>
    </row>
    <row r="73" spans="8:9" x14ac:dyDescent="0.25">
      <c r="H73" s="1">
        <v>0.72</v>
      </c>
      <c r="I73">
        <f>lambda*psi-lambda*LN(-LN(H73))</f>
        <v>29.438608558332518</v>
      </c>
    </row>
    <row r="74" spans="8:9" x14ac:dyDescent="0.25">
      <c r="H74" s="1">
        <v>0.73</v>
      </c>
      <c r="I74">
        <f>lambda*psi-lambda*LN(-LN(H74))</f>
        <v>30.072601506731552</v>
      </c>
    </row>
    <row r="75" spans="8:9" x14ac:dyDescent="0.25">
      <c r="H75" s="1">
        <v>0.74</v>
      </c>
      <c r="I75">
        <f>lambda*psi-lambda*LN(-LN(H75))</f>
        <v>30.725798513622934</v>
      </c>
    </row>
    <row r="76" spans="8:9" x14ac:dyDescent="0.25">
      <c r="H76" s="1">
        <v>0.75</v>
      </c>
      <c r="I76">
        <f>lambda*psi-lambda*LN(-LN(H76))</f>
        <v>31.399817562579543</v>
      </c>
    </row>
    <row r="77" spans="8:9" x14ac:dyDescent="0.25">
      <c r="H77" s="1">
        <v>0.76</v>
      </c>
      <c r="I77">
        <f>lambda*psi-lambda*LN(-LN(H77))</f>
        <v>32.096470690420752</v>
      </c>
    </row>
    <row r="78" spans="8:9" x14ac:dyDescent="0.25">
      <c r="H78" s="1">
        <v>0.77</v>
      </c>
      <c r="I78">
        <f>lambda*psi-lambda*LN(-LN(H78))</f>
        <v>32.817797253155575</v>
      </c>
    </row>
    <row r="79" spans="8:9" x14ac:dyDescent="0.25">
      <c r="H79" s="1">
        <v>0.78</v>
      </c>
      <c r="I79">
        <f>lambda*psi-lambda*LN(-LN(H79))</f>
        <v>33.566104577347595</v>
      </c>
    </row>
    <row r="80" spans="8:9" x14ac:dyDescent="0.25">
      <c r="H80" s="1">
        <v>0.79</v>
      </c>
      <c r="I80">
        <f>lambda*psi-lambda*LN(-LN(H80))</f>
        <v>34.344018061294037</v>
      </c>
    </row>
    <row r="81" spans="8:9" x14ac:dyDescent="0.25">
      <c r="H81" s="1">
        <v>0.8</v>
      </c>
      <c r="I81">
        <f>lambda*psi-lambda*LN(-LN(H81))</f>
        <v>35.154543496196325</v>
      </c>
    </row>
    <row r="82" spans="8:9" x14ac:dyDescent="0.25">
      <c r="H82" s="1">
        <v>0.81</v>
      </c>
      <c r="I82">
        <f>lambda*psi-lambda*LN(-LN(H82))</f>
        <v>36.001145373326203</v>
      </c>
    </row>
    <row r="83" spans="8:9" x14ac:dyDescent="0.25">
      <c r="H83" s="1">
        <v>0.82</v>
      </c>
      <c r="I83">
        <f>lambda*psi-lambda*LN(-LN(H83))</f>
        <v>36.887846370442176</v>
      </c>
    </row>
    <row r="84" spans="8:9" x14ac:dyDescent="0.25">
      <c r="H84" s="1">
        <v>0.83</v>
      </c>
      <c r="I84">
        <f>lambda*psi-lambda*LN(-LN(H84))</f>
        <v>37.819355291745815</v>
      </c>
    </row>
    <row r="85" spans="8:9" x14ac:dyDescent="0.25">
      <c r="H85" s="1">
        <v>0.84</v>
      </c>
      <c r="I85">
        <f>lambda*psi-lambda*LN(-LN(H85))</f>
        <v>38.801233827971053</v>
      </c>
    </row>
    <row r="86" spans="8:9" x14ac:dyDescent="0.25">
      <c r="H86" s="1">
        <v>0.85</v>
      </c>
      <c r="I86">
        <f>lambda*psi-lambda*LN(-LN(H86))</f>
        <v>39.840117195569981</v>
      </c>
    </row>
    <row r="87" spans="8:9" x14ac:dyDescent="0.25">
      <c r="H87" s="1">
        <v>0.86</v>
      </c>
      <c r="I87">
        <f>lambda*psi-lambda*LN(-LN(H87))</f>
        <v>40.944011002612349</v>
      </c>
    </row>
    <row r="88" spans="8:9" x14ac:dyDescent="0.25">
      <c r="H88" s="1">
        <v>0.87</v>
      </c>
      <c r="I88">
        <f>lambda*psi-lambda*LN(-LN(H88))</f>
        <v>42.12269831090105</v>
      </c>
    </row>
    <row r="89" spans="8:9" x14ac:dyDescent="0.25">
      <c r="H89" s="1">
        <v>0.88</v>
      </c>
      <c r="I89">
        <f>lambda*psi-lambda*LN(-LN(H89))</f>
        <v>43.388309951440419</v>
      </c>
    </row>
    <row r="90" spans="8:9" x14ac:dyDescent="0.25">
      <c r="H90" s="1">
        <v>0.89</v>
      </c>
      <c r="I90">
        <f>lambda*psi-lambda*LN(-LN(H90))</f>
        <v>44.75614357389108</v>
      </c>
    </row>
    <row r="91" spans="8:9" x14ac:dyDescent="0.25">
      <c r="H91" s="1">
        <v>0.9</v>
      </c>
      <c r="I91">
        <f>lambda*psi-lambda*LN(-LN(H91))</f>
        <v>46.245874163560117</v>
      </c>
    </row>
    <row r="92" spans="8:9" x14ac:dyDescent="0.25">
      <c r="H92" s="1">
        <v>0.91</v>
      </c>
      <c r="I92">
        <f>lambda*psi-lambda*LN(-LN(H92))</f>
        <v>47.883404518442831</v>
      </c>
    </row>
    <row r="93" spans="8:9" x14ac:dyDescent="0.25">
      <c r="H93" s="1">
        <v>0.92</v>
      </c>
      <c r="I93">
        <f>lambda*psi-lambda*LN(-LN(H93))</f>
        <v>49.703810211145182</v>
      </c>
    </row>
    <row r="94" spans="8:9" x14ac:dyDescent="0.25">
      <c r="H94" s="1">
        <v>0.93</v>
      </c>
      <c r="I94">
        <f>lambda*psi-lambda*LN(-LN(H94))</f>
        <v>51.756261379622991</v>
      </c>
    </row>
    <row r="95" spans="8:9" x14ac:dyDescent="0.25">
      <c r="H95" s="1">
        <v>0.94</v>
      </c>
      <c r="I95">
        <f>lambda*psi-lambda*LN(-LN(H95))</f>
        <v>54.112764246287583</v>
      </c>
    </row>
    <row r="96" spans="8:9" x14ac:dyDescent="0.25">
      <c r="H96" s="1">
        <v>0.95</v>
      </c>
      <c r="I96">
        <f>lambda*psi-lambda*LN(-LN(H96))</f>
        <v>56.884944826447899</v>
      </c>
    </row>
    <row r="97" spans="8:9" x14ac:dyDescent="0.25">
      <c r="H97" s="1">
        <v>0.96</v>
      </c>
      <c r="I97">
        <f>lambda*psi-lambda*LN(-LN(H97))</f>
        <v>60.259799864321856</v>
      </c>
    </row>
    <row r="98" spans="8:9" x14ac:dyDescent="0.25">
      <c r="H98" s="1">
        <v>0.97</v>
      </c>
      <c r="I98">
        <f>lambda*psi-lambda*LN(-LN(H98))</f>
        <v>64.587872689478488</v>
      </c>
    </row>
    <row r="99" spans="8:9" x14ac:dyDescent="0.25">
      <c r="H99" s="1">
        <v>0.98</v>
      </c>
      <c r="I99">
        <f>lambda*psi-lambda*LN(-LN(H99))</f>
        <v>70.656130505213213</v>
      </c>
    </row>
    <row r="100" spans="8:9" x14ac:dyDescent="0.25">
      <c r="H100" s="1">
        <v>0.99</v>
      </c>
      <c r="I100">
        <f>lambda*psi-lambda*LN(-LN(H100))</f>
        <v>80.975696272573032</v>
      </c>
    </row>
    <row r="101" spans="8:9" x14ac:dyDescent="0.25">
      <c r="H101" s="1"/>
    </row>
    <row r="102" spans="8:9" x14ac:dyDescent="0.25">
      <c r="H102" s="1"/>
    </row>
    <row r="103" spans="8:9" x14ac:dyDescent="0.25">
      <c r="H103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50A5-0EB2-4206-AB34-2D459D4ACE1D}">
  <dimension ref="A1:L24"/>
  <sheetViews>
    <sheetView tabSelected="1" workbookViewId="0">
      <selection activeCell="K17" sqref="K17"/>
    </sheetView>
  </sheetViews>
  <sheetFormatPr defaultRowHeight="15" x14ac:dyDescent="0.25"/>
  <cols>
    <col min="4" max="4" width="12" bestFit="1" customWidth="1"/>
  </cols>
  <sheetData>
    <row r="1" spans="1:12" x14ac:dyDescent="0.25">
      <c r="A1" t="s">
        <v>29</v>
      </c>
      <c r="B1">
        <f>AVERAGE(B5:B24)</f>
        <v>385.05</v>
      </c>
      <c r="F1" t="s">
        <v>30</v>
      </c>
      <c r="G1">
        <f>0.78*B2</f>
        <v>145.26384234792985</v>
      </c>
    </row>
    <row r="2" spans="1:12" x14ac:dyDescent="0.25">
      <c r="A2" t="s">
        <v>28</v>
      </c>
      <c r="B2">
        <f>_xlfn.STDEV.S(B5:B24)</f>
        <v>186.23569531785878</v>
      </c>
      <c r="F2" t="s">
        <v>4</v>
      </c>
      <c r="G2">
        <f>(B1/G1)-0.5772</f>
        <v>2.0734940321580124</v>
      </c>
    </row>
    <row r="4" spans="1:12" x14ac:dyDescent="0.25">
      <c r="A4" s="3" t="s">
        <v>7</v>
      </c>
      <c r="B4" s="3" t="s">
        <v>8</v>
      </c>
      <c r="C4" t="s">
        <v>9</v>
      </c>
      <c r="D4" t="s">
        <v>26</v>
      </c>
      <c r="E4" t="s">
        <v>25</v>
      </c>
      <c r="F4" t="s">
        <v>21</v>
      </c>
      <c r="G4" t="s">
        <v>27</v>
      </c>
    </row>
    <row r="5" spans="1:12" x14ac:dyDescent="0.25">
      <c r="A5" s="4">
        <v>1971</v>
      </c>
      <c r="B5" s="4">
        <v>884</v>
      </c>
      <c r="C5">
        <v>1</v>
      </c>
      <c r="D5">
        <f>SMALL($B$5:$B$24,C5)</f>
        <v>70</v>
      </c>
      <c r="E5">
        <f>C5/(20+1)</f>
        <v>4.7619047619047616E-2</v>
      </c>
      <c r="F5">
        <f>1-E5</f>
        <v>0.95238095238095233</v>
      </c>
      <c r="G5" s="1">
        <f>1/F5</f>
        <v>1.05</v>
      </c>
      <c r="J5" t="s">
        <v>19</v>
      </c>
      <c r="K5" t="s">
        <v>24</v>
      </c>
      <c r="L5" t="s">
        <v>31</v>
      </c>
    </row>
    <row r="6" spans="1:12" x14ac:dyDescent="0.25">
      <c r="A6" s="4">
        <v>1972</v>
      </c>
      <c r="B6" s="4">
        <v>305</v>
      </c>
      <c r="C6">
        <v>2</v>
      </c>
      <c r="D6">
        <f t="shared" ref="D6:D24" si="0">SMALL($B$5:$B$24,C6)</f>
        <v>176</v>
      </c>
      <c r="E6">
        <f t="shared" ref="E6:E24" si="1">C6/(20+1)</f>
        <v>9.5238095238095233E-2</v>
      </c>
      <c r="F6">
        <f t="shared" ref="F6:F24" si="2">1-E6</f>
        <v>0.90476190476190477</v>
      </c>
      <c r="G6" s="1">
        <f t="shared" ref="G6:G24" si="3">1/F6</f>
        <v>1.1052631578947367</v>
      </c>
      <c r="J6">
        <v>50</v>
      </c>
      <c r="K6">
        <f>1-(1/J6)</f>
        <v>0.98</v>
      </c>
      <c r="L6">
        <f>$G$1*$G$2-$G$1*LN(-LN(K6))</f>
        <v>868.0143122544589</v>
      </c>
    </row>
    <row r="7" spans="1:12" x14ac:dyDescent="0.25">
      <c r="A7" s="4">
        <v>1973</v>
      </c>
      <c r="B7" s="4">
        <v>215</v>
      </c>
      <c r="C7">
        <v>3</v>
      </c>
      <c r="D7">
        <f t="shared" si="0"/>
        <v>188</v>
      </c>
      <c r="E7">
        <f t="shared" si="1"/>
        <v>0.14285714285714285</v>
      </c>
      <c r="F7">
        <f t="shared" si="2"/>
        <v>0.85714285714285721</v>
      </c>
      <c r="G7" s="1">
        <f t="shared" si="3"/>
        <v>1.1666666666666665</v>
      </c>
      <c r="J7">
        <v>100</v>
      </c>
      <c r="K7">
        <f t="shared" ref="K7:K8" si="4">1-(1/J7)</f>
        <v>0.99</v>
      </c>
      <c r="L7">
        <f t="shared" ref="L7:L8" si="5">$G$1*$G$2-$G$1*LN(-LN(K7))</f>
        <v>969.43906225219939</v>
      </c>
    </row>
    <row r="8" spans="1:12" x14ac:dyDescent="0.25">
      <c r="A8" s="4">
        <v>1974</v>
      </c>
      <c r="B8" s="4">
        <v>378</v>
      </c>
      <c r="C8">
        <v>4</v>
      </c>
      <c r="D8">
        <f t="shared" si="0"/>
        <v>192</v>
      </c>
      <c r="E8">
        <f t="shared" si="1"/>
        <v>0.19047619047619047</v>
      </c>
      <c r="F8">
        <f t="shared" si="2"/>
        <v>0.80952380952380953</v>
      </c>
      <c r="G8" s="1">
        <f t="shared" si="3"/>
        <v>1.2352941176470589</v>
      </c>
      <c r="J8">
        <v>1000</v>
      </c>
      <c r="K8">
        <f t="shared" si="4"/>
        <v>0.999</v>
      </c>
      <c r="L8">
        <f t="shared" si="5"/>
        <v>1304.578121818271</v>
      </c>
    </row>
    <row r="9" spans="1:12" x14ac:dyDescent="0.25">
      <c r="A9" s="4">
        <v>1975</v>
      </c>
      <c r="B9" s="4">
        <v>176</v>
      </c>
      <c r="C9">
        <v>5</v>
      </c>
      <c r="D9">
        <f t="shared" si="0"/>
        <v>215</v>
      </c>
      <c r="E9">
        <f t="shared" si="1"/>
        <v>0.23809523809523808</v>
      </c>
      <c r="F9">
        <f t="shared" si="2"/>
        <v>0.76190476190476186</v>
      </c>
      <c r="G9" s="1">
        <f t="shared" si="3"/>
        <v>1.3125</v>
      </c>
    </row>
    <row r="10" spans="1:12" x14ac:dyDescent="0.25">
      <c r="A10" s="4">
        <v>1976</v>
      </c>
      <c r="B10" s="4">
        <v>430</v>
      </c>
      <c r="C10">
        <v>6</v>
      </c>
      <c r="D10">
        <f t="shared" si="0"/>
        <v>305</v>
      </c>
      <c r="E10">
        <f t="shared" si="1"/>
        <v>0.2857142857142857</v>
      </c>
      <c r="F10">
        <f t="shared" si="2"/>
        <v>0.7142857142857143</v>
      </c>
      <c r="G10" s="1">
        <f t="shared" si="3"/>
        <v>1.4</v>
      </c>
      <c r="I10" t="s">
        <v>33</v>
      </c>
      <c r="J10">
        <v>1500</v>
      </c>
      <c r="K10" t="s">
        <v>32</v>
      </c>
    </row>
    <row r="11" spans="1:12" x14ac:dyDescent="0.25">
      <c r="A11" s="4">
        <v>1977</v>
      </c>
      <c r="B11" s="4">
        <v>713</v>
      </c>
      <c r="C11">
        <v>7</v>
      </c>
      <c r="D11">
        <f t="shared" si="0"/>
        <v>317</v>
      </c>
      <c r="E11">
        <f t="shared" si="1"/>
        <v>0.33333333333333331</v>
      </c>
      <c r="F11">
        <f t="shared" si="2"/>
        <v>0.66666666666666674</v>
      </c>
      <c r="G11" s="1">
        <f t="shared" si="3"/>
        <v>1.4999999999999998</v>
      </c>
    </row>
    <row r="12" spans="1:12" x14ac:dyDescent="0.25">
      <c r="A12" s="4">
        <v>1978</v>
      </c>
      <c r="B12" s="4">
        <v>365</v>
      </c>
      <c r="C12">
        <v>8</v>
      </c>
      <c r="D12">
        <f t="shared" si="0"/>
        <v>365</v>
      </c>
      <c r="E12">
        <f t="shared" si="1"/>
        <v>0.38095238095238093</v>
      </c>
      <c r="F12">
        <f t="shared" si="2"/>
        <v>0.61904761904761907</v>
      </c>
      <c r="G12" s="1">
        <f t="shared" si="3"/>
        <v>1.6153846153846154</v>
      </c>
      <c r="I12" t="s">
        <v>35</v>
      </c>
      <c r="J12">
        <f>EXP(-EXP(-J10/G1+G2))</f>
        <v>0.99973943926196174</v>
      </c>
    </row>
    <row r="13" spans="1:12" x14ac:dyDescent="0.25">
      <c r="A13" s="4">
        <v>1979</v>
      </c>
      <c r="B13" s="4">
        <v>502</v>
      </c>
      <c r="C13">
        <v>9</v>
      </c>
      <c r="D13">
        <f t="shared" si="0"/>
        <v>374</v>
      </c>
      <c r="E13">
        <f t="shared" si="1"/>
        <v>0.42857142857142855</v>
      </c>
      <c r="F13">
        <f t="shared" si="2"/>
        <v>0.5714285714285714</v>
      </c>
      <c r="G13" s="1">
        <f t="shared" si="3"/>
        <v>1.75</v>
      </c>
      <c r="I13" t="s">
        <v>34</v>
      </c>
      <c r="J13">
        <f>1/(1-J12)</f>
        <v>3837.8767558340028</v>
      </c>
    </row>
    <row r="14" spans="1:12" x14ac:dyDescent="0.25">
      <c r="A14" s="4">
        <v>1980</v>
      </c>
      <c r="B14" s="4">
        <v>381</v>
      </c>
      <c r="C14">
        <v>10</v>
      </c>
      <c r="D14">
        <f t="shared" si="0"/>
        <v>378</v>
      </c>
      <c r="E14">
        <f t="shared" si="1"/>
        <v>0.47619047619047616</v>
      </c>
      <c r="F14">
        <f t="shared" si="2"/>
        <v>0.52380952380952384</v>
      </c>
      <c r="G14" s="1">
        <f t="shared" si="3"/>
        <v>1.9090909090909089</v>
      </c>
    </row>
    <row r="15" spans="1:12" x14ac:dyDescent="0.25">
      <c r="A15" s="4">
        <v>1981</v>
      </c>
      <c r="B15" s="4">
        <v>387</v>
      </c>
      <c r="C15">
        <v>11</v>
      </c>
      <c r="D15">
        <f t="shared" si="0"/>
        <v>381</v>
      </c>
      <c r="E15">
        <f t="shared" si="1"/>
        <v>0.52380952380952384</v>
      </c>
      <c r="F15">
        <f t="shared" si="2"/>
        <v>0.47619047619047616</v>
      </c>
      <c r="G15" s="1">
        <f t="shared" si="3"/>
        <v>2.1</v>
      </c>
    </row>
    <row r="16" spans="1:12" x14ac:dyDescent="0.25">
      <c r="A16" s="4">
        <v>1982</v>
      </c>
      <c r="B16" s="4">
        <v>525</v>
      </c>
      <c r="C16">
        <v>12</v>
      </c>
      <c r="D16">
        <f t="shared" si="0"/>
        <v>387</v>
      </c>
      <c r="E16">
        <f t="shared" si="1"/>
        <v>0.5714285714285714</v>
      </c>
      <c r="F16">
        <f t="shared" si="2"/>
        <v>0.4285714285714286</v>
      </c>
      <c r="G16" s="1">
        <f t="shared" si="3"/>
        <v>2.333333333333333</v>
      </c>
    </row>
    <row r="17" spans="1:7" x14ac:dyDescent="0.25">
      <c r="A17" s="4">
        <v>1983</v>
      </c>
      <c r="B17" s="4">
        <v>412</v>
      </c>
      <c r="C17">
        <v>13</v>
      </c>
      <c r="D17">
        <f t="shared" si="0"/>
        <v>412</v>
      </c>
      <c r="E17">
        <f t="shared" si="1"/>
        <v>0.61904761904761907</v>
      </c>
      <c r="F17">
        <f t="shared" si="2"/>
        <v>0.38095238095238093</v>
      </c>
      <c r="G17" s="1">
        <f t="shared" si="3"/>
        <v>2.625</v>
      </c>
    </row>
    <row r="18" spans="1:7" x14ac:dyDescent="0.25">
      <c r="A18" s="4">
        <v>1984</v>
      </c>
      <c r="B18" s="15">
        <v>439</v>
      </c>
      <c r="C18">
        <v>14</v>
      </c>
      <c r="D18">
        <f t="shared" si="0"/>
        <v>430</v>
      </c>
      <c r="E18">
        <f t="shared" si="1"/>
        <v>0.66666666666666663</v>
      </c>
      <c r="F18">
        <f t="shared" si="2"/>
        <v>0.33333333333333337</v>
      </c>
      <c r="G18" s="1">
        <f t="shared" si="3"/>
        <v>2.9999999999999996</v>
      </c>
    </row>
    <row r="19" spans="1:7" x14ac:dyDescent="0.25">
      <c r="A19" s="4">
        <v>1985</v>
      </c>
      <c r="B19" s="4">
        <v>317</v>
      </c>
      <c r="C19">
        <v>15</v>
      </c>
      <c r="D19">
        <f t="shared" si="0"/>
        <v>439</v>
      </c>
      <c r="E19">
        <f t="shared" si="1"/>
        <v>0.7142857142857143</v>
      </c>
      <c r="F19">
        <f t="shared" si="2"/>
        <v>0.2857142857142857</v>
      </c>
      <c r="G19" s="1">
        <f t="shared" si="3"/>
        <v>3.5</v>
      </c>
    </row>
    <row r="20" spans="1:7" x14ac:dyDescent="0.25">
      <c r="A20" s="4">
        <v>1986</v>
      </c>
      <c r="B20" s="4">
        <v>374</v>
      </c>
      <c r="C20">
        <v>16</v>
      </c>
      <c r="D20">
        <f t="shared" si="0"/>
        <v>448</v>
      </c>
      <c r="E20">
        <f t="shared" si="1"/>
        <v>0.76190476190476186</v>
      </c>
      <c r="F20">
        <f t="shared" si="2"/>
        <v>0.23809523809523814</v>
      </c>
      <c r="G20" s="1">
        <f t="shared" si="3"/>
        <v>4.1999999999999993</v>
      </c>
    </row>
    <row r="21" spans="1:7" x14ac:dyDescent="0.25">
      <c r="A21" s="4">
        <v>1987</v>
      </c>
      <c r="B21" s="4">
        <v>188</v>
      </c>
      <c r="C21">
        <v>17</v>
      </c>
      <c r="D21">
        <f t="shared" si="0"/>
        <v>502</v>
      </c>
      <c r="E21">
        <f t="shared" si="1"/>
        <v>0.80952380952380953</v>
      </c>
      <c r="F21">
        <f t="shared" si="2"/>
        <v>0.19047619047619047</v>
      </c>
      <c r="G21" s="1">
        <f t="shared" si="3"/>
        <v>5.25</v>
      </c>
    </row>
    <row r="22" spans="1:7" x14ac:dyDescent="0.25">
      <c r="A22" s="4">
        <v>1988</v>
      </c>
      <c r="B22" s="4">
        <v>192</v>
      </c>
      <c r="C22">
        <v>18</v>
      </c>
      <c r="D22">
        <f t="shared" si="0"/>
        <v>525</v>
      </c>
      <c r="E22">
        <f t="shared" si="1"/>
        <v>0.8571428571428571</v>
      </c>
      <c r="F22">
        <f t="shared" si="2"/>
        <v>0.1428571428571429</v>
      </c>
      <c r="G22" s="1">
        <f t="shared" si="3"/>
        <v>6.9999999999999973</v>
      </c>
    </row>
    <row r="23" spans="1:7" x14ac:dyDescent="0.25">
      <c r="A23" s="4">
        <v>1989</v>
      </c>
      <c r="B23" s="4">
        <v>448</v>
      </c>
      <c r="C23">
        <v>19</v>
      </c>
      <c r="D23">
        <f t="shared" si="0"/>
        <v>713</v>
      </c>
      <c r="E23">
        <f t="shared" si="1"/>
        <v>0.90476190476190477</v>
      </c>
      <c r="F23">
        <f t="shared" si="2"/>
        <v>9.5238095238095233E-2</v>
      </c>
      <c r="G23" s="1">
        <f t="shared" si="3"/>
        <v>10.5</v>
      </c>
    </row>
    <row r="24" spans="1:7" x14ac:dyDescent="0.25">
      <c r="A24" s="4">
        <v>1990</v>
      </c>
      <c r="B24" s="4">
        <v>70</v>
      </c>
      <c r="C24">
        <v>20</v>
      </c>
      <c r="D24">
        <f t="shared" si="0"/>
        <v>884</v>
      </c>
      <c r="E24">
        <f t="shared" si="1"/>
        <v>0.95238095238095233</v>
      </c>
      <c r="F24">
        <f t="shared" si="2"/>
        <v>4.7619047619047672E-2</v>
      </c>
      <c r="G24" s="1">
        <f t="shared" si="3"/>
        <v>20.999999999999975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zoomScale="97" zoomScaleNormal="100" workbookViewId="0">
      <selection activeCell="A5" sqref="A5:B25"/>
    </sheetView>
  </sheetViews>
  <sheetFormatPr defaultRowHeight="15" x14ac:dyDescent="0.25"/>
  <cols>
    <col min="4" max="4" width="14.28515625" customWidth="1"/>
    <col min="5" max="5" width="9.7109375" bestFit="1" customWidth="1"/>
    <col min="8" max="8" width="10" bestFit="1" customWidth="1"/>
    <col min="9" max="9" width="12" bestFit="1" customWidth="1"/>
    <col min="10" max="10" width="7.42578125" bestFit="1" customWidth="1"/>
    <col min="11" max="11" width="8.7109375" bestFit="1" customWidth="1"/>
    <col min="12" max="12" width="12.28515625" bestFit="1" customWidth="1"/>
    <col min="13" max="13" width="10.5703125" bestFit="1" customWidth="1"/>
    <col min="17" max="17" width="9.5703125" bestFit="1" customWidth="1"/>
  </cols>
  <sheetData>
    <row r="1" spans="1:35" x14ac:dyDescent="0.25">
      <c r="A1" t="s">
        <v>0</v>
      </c>
      <c r="B1">
        <f>COUNT(B6:B25)</f>
        <v>20</v>
      </c>
      <c r="D1" t="s">
        <v>1</v>
      </c>
      <c r="E1" s="1">
        <f>0.78*B3</f>
        <v>145.26384234792985</v>
      </c>
      <c r="L1" t="s">
        <v>1</v>
      </c>
      <c r="M1" s="1">
        <v>145</v>
      </c>
      <c r="T1" s="22" t="s">
        <v>2</v>
      </c>
      <c r="U1" s="22"/>
    </row>
    <row r="2" spans="1:35" x14ac:dyDescent="0.25">
      <c r="A2" t="s">
        <v>3</v>
      </c>
      <c r="B2" s="17">
        <f>AVERAGE(B6:B25)</f>
        <v>385.05</v>
      </c>
      <c r="D2" t="s">
        <v>4</v>
      </c>
      <c r="E2" s="1">
        <f>B2/E1-0.5772</f>
        <v>2.0734940321580124</v>
      </c>
      <c r="L2" t="s">
        <v>4</v>
      </c>
      <c r="M2" s="1">
        <v>2</v>
      </c>
    </row>
    <row r="3" spans="1:35" x14ac:dyDescent="0.25">
      <c r="A3" t="s">
        <v>5</v>
      </c>
      <c r="B3" s="17">
        <f>_xlfn.STDEV.S(B6:B25)</f>
        <v>186.23569531785878</v>
      </c>
      <c r="L3" t="s">
        <v>6</v>
      </c>
      <c r="M3" s="1">
        <v>0.13800000000000001</v>
      </c>
    </row>
    <row r="4" spans="1:35" x14ac:dyDescent="0.25">
      <c r="D4" t="s">
        <v>17</v>
      </c>
      <c r="E4" t="s">
        <v>18</v>
      </c>
      <c r="L4" t="s">
        <v>16</v>
      </c>
      <c r="M4" s="2">
        <f>AVERAGE(M6:M25)</f>
        <v>1742.2198221352423</v>
      </c>
    </row>
    <row r="5" spans="1:35" x14ac:dyDescent="0.25">
      <c r="A5" s="3" t="s">
        <v>7</v>
      </c>
      <c r="B5" s="3" t="s">
        <v>8</v>
      </c>
      <c r="C5" t="s">
        <v>9</v>
      </c>
      <c r="D5" t="s">
        <v>10</v>
      </c>
      <c r="E5" t="s">
        <v>11</v>
      </c>
      <c r="F5" t="s">
        <v>12</v>
      </c>
      <c r="G5" t="s">
        <v>9</v>
      </c>
      <c r="H5" t="s">
        <v>13</v>
      </c>
      <c r="I5" t="s">
        <v>12</v>
      </c>
      <c r="K5" t="s">
        <v>10</v>
      </c>
      <c r="L5" t="s">
        <v>14</v>
      </c>
      <c r="M5" t="s">
        <v>15</v>
      </c>
      <c r="O5" t="s">
        <v>12</v>
      </c>
      <c r="P5" t="s">
        <v>10</v>
      </c>
      <c r="Q5" t="s">
        <v>2</v>
      </c>
      <c r="R5" t="s">
        <v>14</v>
      </c>
    </row>
    <row r="6" spans="1:35" x14ac:dyDescent="0.25">
      <c r="A6" s="4">
        <v>1971</v>
      </c>
      <c r="B6" s="4">
        <v>884</v>
      </c>
      <c r="C6">
        <f>RANK(B6,$B$6:$B$25,1)</f>
        <v>20</v>
      </c>
      <c r="D6" s="5">
        <f>C6/($B$1+1)</f>
        <v>0.95238095238095233</v>
      </c>
      <c r="E6" s="5">
        <f>1-D6</f>
        <v>4.7619047619047672E-2</v>
      </c>
      <c r="F6" s="6">
        <f>1/E6</f>
        <v>20.999999999999975</v>
      </c>
      <c r="G6">
        <v>1</v>
      </c>
      <c r="H6">
        <f>SMALL($B$6:$B$25,G6)</f>
        <v>70</v>
      </c>
      <c r="I6" s="1">
        <f>VLOOKUP(H6,$B$6:$F$25,5,FALSE)</f>
        <v>1.05</v>
      </c>
      <c r="K6" s="5">
        <f>VLOOKUP(H6,$B$6:$F$25,3,FALSE)</f>
        <v>4.7619047619047616E-2</v>
      </c>
      <c r="L6" s="1">
        <f t="shared" ref="L6:L25" si="0">$M$1*$M$2+$M$1/$M$3*((-LN(K6))^-$M$3-1)</f>
        <v>140.35519372609977</v>
      </c>
      <c r="M6" s="1">
        <f>(H6-L6)^2</f>
        <v>4949.8532842370287</v>
      </c>
      <c r="O6">
        <v>1.05</v>
      </c>
      <c r="P6" s="5">
        <f>1-1/O6</f>
        <v>4.7619047619047672E-2</v>
      </c>
      <c r="Q6" s="1">
        <f>$E$1*$E$2-$E$1*LN(-LN(P6))</f>
        <v>139.47507506332659</v>
      </c>
      <c r="R6">
        <f t="shared" ref="R6:R31" si="1">$M$1*$M$2+$M$1/$M$3*((-LN(P6))^-$M$3-1)</f>
        <v>140.35519372610003</v>
      </c>
    </row>
    <row r="7" spans="1:35" x14ac:dyDescent="0.25">
      <c r="A7" s="4">
        <v>1972</v>
      </c>
      <c r="B7" s="4">
        <v>305</v>
      </c>
      <c r="C7">
        <f t="shared" ref="C7:C25" si="2">RANK(B7,$B$6:$B$25,1)</f>
        <v>6</v>
      </c>
      <c r="D7" s="5">
        <f t="shared" ref="D7:D25" si="3">C7/($B$1+1)</f>
        <v>0.2857142857142857</v>
      </c>
      <c r="E7" s="5">
        <f t="shared" ref="E7:E25" si="4">1-D7</f>
        <v>0.7142857142857143</v>
      </c>
      <c r="F7" s="6">
        <f t="shared" ref="F7:F25" si="5">1/E7</f>
        <v>1.4</v>
      </c>
      <c r="G7">
        <v>2</v>
      </c>
      <c r="H7">
        <f t="shared" ref="H7:H25" si="6">SMALL($B$6:$B$25,G7)</f>
        <v>176</v>
      </c>
      <c r="I7" s="1">
        <f t="shared" ref="I7:I25" si="7">VLOOKUP(H7,$B$6:$F$25,5,FALSE)</f>
        <v>1.1052631578947367</v>
      </c>
      <c r="K7" s="5">
        <f t="shared" ref="K7:K25" si="8">VLOOKUP(H7,$B$6:$F$25,3,FALSE)</f>
        <v>9.5238095238095233E-2</v>
      </c>
      <c r="L7" s="1">
        <f t="shared" si="0"/>
        <v>173.05948996646271</v>
      </c>
      <c r="M7" s="1">
        <f t="shared" ref="M7:M25" si="9">(H7-L7)^2</f>
        <v>8.6465992573334951</v>
      </c>
      <c r="O7">
        <v>1.2</v>
      </c>
      <c r="P7" s="5">
        <f t="shared" ref="P7:P31" si="10">1-1/O7</f>
        <v>0.16666666666666663</v>
      </c>
      <c r="Q7" s="1">
        <f t="shared" ref="Q7:Q31" si="11">$E$1*$E$2-$E$1*LN(-LN(P7))</f>
        <v>216.48611613234743</v>
      </c>
      <c r="R7">
        <f t="shared" si="1"/>
        <v>208.74969651771698</v>
      </c>
    </row>
    <row r="8" spans="1:35" x14ac:dyDescent="0.25">
      <c r="A8" s="4">
        <v>1973</v>
      </c>
      <c r="B8" s="4">
        <v>215</v>
      </c>
      <c r="C8">
        <f t="shared" si="2"/>
        <v>5</v>
      </c>
      <c r="D8" s="5">
        <f t="shared" si="3"/>
        <v>0.23809523809523808</v>
      </c>
      <c r="E8" s="5">
        <f t="shared" si="4"/>
        <v>0.76190476190476186</v>
      </c>
      <c r="F8" s="6">
        <f t="shared" si="5"/>
        <v>1.3125</v>
      </c>
      <c r="G8">
        <v>3</v>
      </c>
      <c r="H8">
        <f>SMALL($B$6:$B$25,G8)</f>
        <v>188</v>
      </c>
      <c r="I8" s="1">
        <f t="shared" si="7"/>
        <v>1.1666666666666665</v>
      </c>
      <c r="K8" s="5">
        <f t="shared" si="8"/>
        <v>0.14285714285714285</v>
      </c>
      <c r="L8" s="1">
        <f t="shared" si="0"/>
        <v>197.7706272446917</v>
      </c>
      <c r="M8" s="1">
        <f t="shared" si="9"/>
        <v>95.465156754711629</v>
      </c>
      <c r="O8">
        <v>1.8</v>
      </c>
      <c r="P8" s="5">
        <f t="shared" si="10"/>
        <v>0.44444444444444442</v>
      </c>
      <c r="Q8" s="1">
        <f t="shared" si="11"/>
        <v>331.64712939965648</v>
      </c>
      <c r="R8">
        <f t="shared" si="1"/>
        <v>320.83182114684257</v>
      </c>
    </row>
    <row r="9" spans="1:35" x14ac:dyDescent="0.25">
      <c r="A9" s="4">
        <v>1974</v>
      </c>
      <c r="B9" s="4">
        <v>378</v>
      </c>
      <c r="C9">
        <f t="shared" si="2"/>
        <v>10</v>
      </c>
      <c r="D9" s="5">
        <f t="shared" si="3"/>
        <v>0.47619047619047616</v>
      </c>
      <c r="E9" s="5">
        <f t="shared" si="4"/>
        <v>0.52380952380952384</v>
      </c>
      <c r="F9" s="6">
        <f t="shared" si="5"/>
        <v>1.9090909090909089</v>
      </c>
      <c r="G9">
        <v>4</v>
      </c>
      <c r="H9">
        <f t="shared" si="6"/>
        <v>192</v>
      </c>
      <c r="I9" s="1">
        <f t="shared" si="7"/>
        <v>1.2352941176470589</v>
      </c>
      <c r="K9" s="5">
        <f t="shared" si="8"/>
        <v>0.19047619047619047</v>
      </c>
      <c r="L9" s="1">
        <f t="shared" si="0"/>
        <v>219.16690055254284</v>
      </c>
      <c r="M9" s="1">
        <f t="shared" si="9"/>
        <v>738.04048563175252</v>
      </c>
      <c r="O9">
        <v>2</v>
      </c>
      <c r="P9" s="5">
        <f t="shared" si="10"/>
        <v>0.5</v>
      </c>
      <c r="Q9" s="1">
        <f t="shared" si="11"/>
        <v>354.44478531062913</v>
      </c>
      <c r="R9">
        <f t="shared" si="1"/>
        <v>344.51131090006987</v>
      </c>
    </row>
    <row r="10" spans="1:35" x14ac:dyDescent="0.25">
      <c r="A10" s="4">
        <v>1975</v>
      </c>
      <c r="B10" s="4">
        <v>176</v>
      </c>
      <c r="C10">
        <f t="shared" si="2"/>
        <v>2</v>
      </c>
      <c r="D10" s="5">
        <f t="shared" si="3"/>
        <v>9.5238095238095233E-2</v>
      </c>
      <c r="E10" s="5">
        <f t="shared" si="4"/>
        <v>0.90476190476190477</v>
      </c>
      <c r="F10" s="6">
        <f t="shared" si="5"/>
        <v>1.1052631578947367</v>
      </c>
      <c r="G10">
        <v>5</v>
      </c>
      <c r="H10">
        <f>SMALL($B$6:$B$25,G10)</f>
        <v>215</v>
      </c>
      <c r="I10" s="1">
        <f t="shared" si="7"/>
        <v>1.3125</v>
      </c>
      <c r="K10" s="5">
        <f t="shared" si="8"/>
        <v>0.23809523809523808</v>
      </c>
      <c r="L10" s="1">
        <f t="shared" si="0"/>
        <v>238.90661007181896</v>
      </c>
      <c r="M10" s="1">
        <f>(H10-L10)^2</f>
        <v>571.52600512599577</v>
      </c>
      <c r="O10">
        <v>3</v>
      </c>
      <c r="P10" s="5">
        <f t="shared" si="10"/>
        <v>0.66666666666666674</v>
      </c>
      <c r="Q10" s="1">
        <f t="shared" si="11"/>
        <v>432.33635216042848</v>
      </c>
      <c r="R10">
        <f t="shared" si="1"/>
        <v>429.39695443496123</v>
      </c>
    </row>
    <row r="11" spans="1:35" x14ac:dyDescent="0.25">
      <c r="A11" s="4">
        <v>1976</v>
      </c>
      <c r="B11" s="4">
        <v>430</v>
      </c>
      <c r="C11">
        <f t="shared" si="2"/>
        <v>14</v>
      </c>
      <c r="D11" s="5">
        <f t="shared" si="3"/>
        <v>0.66666666666666663</v>
      </c>
      <c r="E11" s="5">
        <f t="shared" si="4"/>
        <v>0.33333333333333337</v>
      </c>
      <c r="F11" s="6">
        <f t="shared" si="5"/>
        <v>2.9999999999999996</v>
      </c>
      <c r="G11">
        <v>6</v>
      </c>
      <c r="H11">
        <f t="shared" si="6"/>
        <v>305</v>
      </c>
      <c r="I11" s="1">
        <f>VLOOKUP(H11,$B$6:$F$25,5,FALSE)</f>
        <v>1.4</v>
      </c>
      <c r="K11" s="5">
        <f t="shared" si="8"/>
        <v>0.2857142857142857</v>
      </c>
      <c r="L11" s="1">
        <f t="shared" si="0"/>
        <v>257.82689503399041</v>
      </c>
      <c r="M11" s="1">
        <f t="shared" si="9"/>
        <v>2225.3018321341588</v>
      </c>
      <c r="O11">
        <v>5</v>
      </c>
      <c r="P11" s="5">
        <f t="shared" si="10"/>
        <v>0.8</v>
      </c>
      <c r="Q11" s="1">
        <f t="shared" si="11"/>
        <v>519.09075596476521</v>
      </c>
      <c r="R11">
        <f t="shared" si="1"/>
        <v>531.63765124185227</v>
      </c>
      <c r="AF11" t="s">
        <v>19</v>
      </c>
      <c r="AG11" t="s">
        <v>21</v>
      </c>
      <c r="AH11" t="s">
        <v>22</v>
      </c>
      <c r="AI11" t="s">
        <v>20</v>
      </c>
    </row>
    <row r="12" spans="1:35" x14ac:dyDescent="0.25">
      <c r="A12" s="4">
        <v>1977</v>
      </c>
      <c r="B12" s="4">
        <v>713</v>
      </c>
      <c r="C12">
        <f t="shared" si="2"/>
        <v>19</v>
      </c>
      <c r="D12" s="5">
        <f t="shared" si="3"/>
        <v>0.90476190476190477</v>
      </c>
      <c r="E12" s="5">
        <f t="shared" si="4"/>
        <v>9.5238095238095233E-2</v>
      </c>
      <c r="F12" s="6">
        <f t="shared" si="5"/>
        <v>10.5</v>
      </c>
      <c r="G12">
        <v>7</v>
      </c>
      <c r="H12">
        <f t="shared" si="6"/>
        <v>317</v>
      </c>
      <c r="I12" s="1">
        <f t="shared" si="7"/>
        <v>1.4999999999999998</v>
      </c>
      <c r="K12" s="5">
        <f t="shared" si="8"/>
        <v>0.33333333333333331</v>
      </c>
      <c r="L12" s="1">
        <f t="shared" si="0"/>
        <v>276.45117755486024</v>
      </c>
      <c r="M12" s="1">
        <f t="shared" si="9"/>
        <v>1644.2070016874702</v>
      </c>
      <c r="O12">
        <v>10</v>
      </c>
      <c r="P12" s="5">
        <f t="shared" si="10"/>
        <v>0.9</v>
      </c>
      <c r="Q12" s="1">
        <f t="shared" si="11"/>
        <v>628.1007148564222</v>
      </c>
      <c r="R12">
        <f t="shared" si="1"/>
        <v>672.64885018950554</v>
      </c>
      <c r="AF12">
        <v>50</v>
      </c>
      <c r="AG12">
        <f>1/AF12</f>
        <v>0.02</v>
      </c>
      <c r="AH12">
        <f>1-AG12</f>
        <v>0.98</v>
      </c>
      <c r="AI12">
        <f>lambda*psi-lambda*LN(-LN(AH12))</f>
        <v>868.0143122544589</v>
      </c>
    </row>
    <row r="13" spans="1:35" x14ac:dyDescent="0.25">
      <c r="A13" s="4">
        <v>1978</v>
      </c>
      <c r="B13" s="4">
        <v>365</v>
      </c>
      <c r="C13">
        <f t="shared" si="2"/>
        <v>8</v>
      </c>
      <c r="D13" s="5">
        <f t="shared" si="3"/>
        <v>0.38095238095238093</v>
      </c>
      <c r="E13" s="5">
        <f t="shared" si="4"/>
        <v>0.61904761904761907</v>
      </c>
      <c r="F13" s="6">
        <f t="shared" si="5"/>
        <v>1.6153846153846154</v>
      </c>
      <c r="G13">
        <v>8</v>
      </c>
      <c r="H13">
        <f t="shared" si="6"/>
        <v>365</v>
      </c>
      <c r="I13" s="1">
        <f t="shared" si="7"/>
        <v>1.6153846153846154</v>
      </c>
      <c r="K13" s="5">
        <f t="shared" si="8"/>
        <v>0.38095238095238093</v>
      </c>
      <c r="L13" s="1">
        <f t="shared" si="0"/>
        <v>295.16644620941548</v>
      </c>
      <c r="M13" s="1">
        <f t="shared" si="9"/>
        <v>4876.7252350224608</v>
      </c>
      <c r="O13">
        <v>15</v>
      </c>
      <c r="P13" s="5">
        <f t="shared" si="10"/>
        <v>0.93333333333333335</v>
      </c>
      <c r="Q13" s="1">
        <f t="shared" si="11"/>
        <v>689.60321249463686</v>
      </c>
      <c r="R13">
        <f t="shared" si="1"/>
        <v>758.89162753529445</v>
      </c>
      <c r="AF13">
        <v>100</v>
      </c>
      <c r="AG13">
        <f t="shared" ref="AG13:AG14" si="12">1/AF13</f>
        <v>0.01</v>
      </c>
      <c r="AH13">
        <f t="shared" ref="AH13:AH14" si="13">1-AG13</f>
        <v>0.99</v>
      </c>
      <c r="AI13">
        <f>lambda*psi-lambda*LN(-LN(AH13))</f>
        <v>969.43906225219939</v>
      </c>
    </row>
    <row r="14" spans="1:35" x14ac:dyDescent="0.25">
      <c r="A14" s="4">
        <v>1979</v>
      </c>
      <c r="B14" s="4">
        <v>502</v>
      </c>
      <c r="C14">
        <f t="shared" si="2"/>
        <v>17</v>
      </c>
      <c r="D14" s="5">
        <f t="shared" si="3"/>
        <v>0.80952380952380953</v>
      </c>
      <c r="E14" s="5">
        <f t="shared" si="4"/>
        <v>0.19047619047619047</v>
      </c>
      <c r="F14" s="6">
        <f t="shared" si="5"/>
        <v>5.25</v>
      </c>
      <c r="G14">
        <v>9</v>
      </c>
      <c r="H14">
        <f t="shared" si="6"/>
        <v>374</v>
      </c>
      <c r="I14" s="1">
        <f t="shared" si="7"/>
        <v>1.75</v>
      </c>
      <c r="K14" s="5">
        <f t="shared" si="8"/>
        <v>0.42857142857142855</v>
      </c>
      <c r="L14" s="1">
        <f t="shared" si="0"/>
        <v>314.30375028409946</v>
      </c>
      <c r="M14" s="1">
        <f t="shared" si="9"/>
        <v>3563.6422301431548</v>
      </c>
      <c r="O14">
        <v>20</v>
      </c>
      <c r="P14" s="5">
        <f t="shared" si="10"/>
        <v>0.95</v>
      </c>
      <c r="Q14" s="1">
        <f t="shared" si="11"/>
        <v>732.66568459620601</v>
      </c>
      <c r="R14">
        <f t="shared" si="1"/>
        <v>822.34694835666676</v>
      </c>
      <c r="AF14">
        <v>1000</v>
      </c>
      <c r="AG14">
        <f t="shared" si="12"/>
        <v>1E-3</v>
      </c>
      <c r="AH14">
        <f t="shared" si="13"/>
        <v>0.999</v>
      </c>
      <c r="AI14">
        <f>lambda*psi-lambda*LN(-LN(AH14))</f>
        <v>1304.578121818271</v>
      </c>
    </row>
    <row r="15" spans="1:35" x14ac:dyDescent="0.25">
      <c r="A15" s="4">
        <v>1980</v>
      </c>
      <c r="B15" s="4">
        <v>381</v>
      </c>
      <c r="C15">
        <f t="shared" si="2"/>
        <v>11</v>
      </c>
      <c r="D15" s="5">
        <f t="shared" si="3"/>
        <v>0.52380952380952384</v>
      </c>
      <c r="E15" s="5">
        <f t="shared" si="4"/>
        <v>0.47619047619047616</v>
      </c>
      <c r="F15" s="6">
        <f t="shared" si="5"/>
        <v>2.1</v>
      </c>
      <c r="G15">
        <v>10</v>
      </c>
      <c r="H15">
        <f t="shared" si="6"/>
        <v>378</v>
      </c>
      <c r="I15" s="1">
        <f t="shared" si="7"/>
        <v>1.9090909090909089</v>
      </c>
      <c r="K15" s="5">
        <f t="shared" si="8"/>
        <v>0.47619047619047616</v>
      </c>
      <c r="L15" s="1">
        <f t="shared" si="0"/>
        <v>334.18489748054242</v>
      </c>
      <c r="M15" s="1">
        <f t="shared" si="9"/>
        <v>1919.7632087905781</v>
      </c>
      <c r="O15">
        <v>25</v>
      </c>
      <c r="P15" s="5">
        <f t="shared" si="10"/>
        <v>0.96</v>
      </c>
      <c r="Q15" s="1">
        <f t="shared" si="11"/>
        <v>765.83508689582959</v>
      </c>
      <c r="R15">
        <f t="shared" si="1"/>
        <v>873.0250345666301</v>
      </c>
    </row>
    <row r="16" spans="1:35" x14ac:dyDescent="0.25">
      <c r="A16" s="4">
        <v>1981</v>
      </c>
      <c r="B16" s="4">
        <v>387</v>
      </c>
      <c r="C16">
        <f t="shared" si="2"/>
        <v>12</v>
      </c>
      <c r="D16" s="5">
        <f t="shared" si="3"/>
        <v>0.5714285714285714</v>
      </c>
      <c r="E16" s="5">
        <f t="shared" si="4"/>
        <v>0.4285714285714286</v>
      </c>
      <c r="F16" s="6">
        <f t="shared" si="5"/>
        <v>2.333333333333333</v>
      </c>
      <c r="G16">
        <v>11</v>
      </c>
      <c r="H16">
        <f t="shared" si="6"/>
        <v>381</v>
      </c>
      <c r="I16" s="1">
        <f t="shared" si="7"/>
        <v>2.1</v>
      </c>
      <c r="K16" s="5">
        <f t="shared" si="8"/>
        <v>0.52380952380952384</v>
      </c>
      <c r="L16" s="1">
        <f t="shared" si="0"/>
        <v>355.15838806481747</v>
      </c>
      <c r="M16" s="1">
        <f t="shared" si="9"/>
        <v>667.78890740856809</v>
      </c>
      <c r="O16">
        <v>30</v>
      </c>
      <c r="P16" s="5">
        <f t="shared" si="10"/>
        <v>0.96666666666666667</v>
      </c>
      <c r="Q16" s="1">
        <f t="shared" si="11"/>
        <v>792.81933195941747</v>
      </c>
      <c r="R16">
        <f t="shared" si="1"/>
        <v>915.44748849044925</v>
      </c>
    </row>
    <row r="17" spans="1:21" x14ac:dyDescent="0.25">
      <c r="A17" s="4">
        <v>1982</v>
      </c>
      <c r="B17" s="4">
        <v>525</v>
      </c>
      <c r="C17">
        <f t="shared" si="2"/>
        <v>18</v>
      </c>
      <c r="D17" s="5">
        <f t="shared" si="3"/>
        <v>0.8571428571428571</v>
      </c>
      <c r="E17" s="5">
        <f t="shared" si="4"/>
        <v>0.1428571428571429</v>
      </c>
      <c r="F17" s="6">
        <f t="shared" si="5"/>
        <v>6.9999999999999973</v>
      </c>
      <c r="G17">
        <v>12</v>
      </c>
      <c r="H17">
        <f t="shared" si="6"/>
        <v>387</v>
      </c>
      <c r="I17" s="1">
        <f t="shared" si="7"/>
        <v>2.333333333333333</v>
      </c>
      <c r="K17" s="5">
        <f t="shared" si="8"/>
        <v>0.5714285714285714</v>
      </c>
      <c r="L17" s="1">
        <f t="shared" si="0"/>
        <v>377.63660630966814</v>
      </c>
      <c r="M17" s="1">
        <f t="shared" si="9"/>
        <v>87.673141400146505</v>
      </c>
      <c r="O17">
        <v>35</v>
      </c>
      <c r="P17" s="5">
        <f t="shared" si="10"/>
        <v>0.97142857142857142</v>
      </c>
      <c r="Q17" s="1">
        <f t="shared" si="11"/>
        <v>815.56689587702135</v>
      </c>
      <c r="R17">
        <f t="shared" si="1"/>
        <v>952.06392594333738</v>
      </c>
    </row>
    <row r="18" spans="1:21" x14ac:dyDescent="0.25">
      <c r="A18" s="4">
        <v>1983</v>
      </c>
      <c r="B18" s="4">
        <v>412</v>
      </c>
      <c r="C18">
        <f t="shared" si="2"/>
        <v>13</v>
      </c>
      <c r="D18" s="5">
        <f t="shared" si="3"/>
        <v>0.61904761904761907</v>
      </c>
      <c r="E18" s="5">
        <f t="shared" si="4"/>
        <v>0.38095238095238093</v>
      </c>
      <c r="F18" s="6">
        <f t="shared" si="5"/>
        <v>2.625</v>
      </c>
      <c r="G18">
        <v>13</v>
      </c>
      <c r="H18">
        <f t="shared" si="6"/>
        <v>412</v>
      </c>
      <c r="I18" s="1">
        <f t="shared" si="7"/>
        <v>2.625</v>
      </c>
      <c r="K18" s="5">
        <f t="shared" si="8"/>
        <v>0.61904761904761907</v>
      </c>
      <c r="L18" s="1">
        <f t="shared" si="0"/>
        <v>402.1447925774213</v>
      </c>
      <c r="M18" s="1">
        <f t="shared" si="9"/>
        <v>97.125113342050327</v>
      </c>
      <c r="O18">
        <v>40</v>
      </c>
      <c r="P18" s="5">
        <f t="shared" si="10"/>
        <v>0.97499999999999998</v>
      </c>
      <c r="Q18" s="1">
        <f t="shared" si="11"/>
        <v>835.22951230823969</v>
      </c>
      <c r="R18">
        <f t="shared" si="1"/>
        <v>984.35846679328961</v>
      </c>
    </row>
    <row r="19" spans="1:21" x14ac:dyDescent="0.25">
      <c r="A19" s="4">
        <v>1984</v>
      </c>
      <c r="B19" s="15">
        <v>439</v>
      </c>
      <c r="C19" s="11">
        <f t="shared" si="2"/>
        <v>15</v>
      </c>
      <c r="D19" s="5">
        <f t="shared" si="3"/>
        <v>0.7142857142857143</v>
      </c>
      <c r="E19" s="5">
        <f t="shared" si="4"/>
        <v>0.2857142857142857</v>
      </c>
      <c r="F19" s="16">
        <f t="shared" si="5"/>
        <v>3.5</v>
      </c>
      <c r="G19">
        <v>14</v>
      </c>
      <c r="H19">
        <f t="shared" si="6"/>
        <v>430</v>
      </c>
      <c r="I19" s="1">
        <f t="shared" si="7"/>
        <v>2.9999999999999996</v>
      </c>
      <c r="K19" s="5">
        <f t="shared" si="8"/>
        <v>0.66666666666666663</v>
      </c>
      <c r="L19" s="1">
        <f t="shared" si="0"/>
        <v>429.39695443496123</v>
      </c>
      <c r="M19" s="1">
        <f t="shared" si="9"/>
        <v>0.36366395351292863</v>
      </c>
      <c r="O19">
        <v>45</v>
      </c>
      <c r="P19" s="5">
        <f t="shared" si="10"/>
        <v>0.97777777777777775</v>
      </c>
      <c r="Q19" s="1">
        <f t="shared" si="11"/>
        <v>852.54494004527396</v>
      </c>
      <c r="R19">
        <f t="shared" si="1"/>
        <v>1013.3017486654747</v>
      </c>
    </row>
    <row r="20" spans="1:21" x14ac:dyDescent="0.25">
      <c r="A20" s="4">
        <v>1985</v>
      </c>
      <c r="B20" s="4">
        <v>317</v>
      </c>
      <c r="C20">
        <f t="shared" si="2"/>
        <v>7</v>
      </c>
      <c r="D20" s="5">
        <f t="shared" si="3"/>
        <v>0.33333333333333331</v>
      </c>
      <c r="E20" s="5">
        <f t="shared" si="4"/>
        <v>0.66666666666666674</v>
      </c>
      <c r="F20" s="6">
        <f t="shared" si="5"/>
        <v>1.4999999999999998</v>
      </c>
      <c r="G20" s="11">
        <v>15</v>
      </c>
      <c r="H20" s="11">
        <f t="shared" si="6"/>
        <v>439</v>
      </c>
      <c r="I20" s="14">
        <f t="shared" si="7"/>
        <v>3.5</v>
      </c>
      <c r="K20" s="5">
        <f t="shared" si="8"/>
        <v>0.7142857142857143</v>
      </c>
      <c r="L20" s="1">
        <f t="shared" si="0"/>
        <v>460.42791431252516</v>
      </c>
      <c r="M20" s="1">
        <f t="shared" si="9"/>
        <v>459.15551178492063</v>
      </c>
      <c r="O20" s="9">
        <v>50</v>
      </c>
      <c r="P20" s="8">
        <f t="shared" si="10"/>
        <v>0.98</v>
      </c>
      <c r="Q20" s="10">
        <f t="shared" si="11"/>
        <v>868.0143122544589</v>
      </c>
      <c r="R20" s="11">
        <f t="shared" si="1"/>
        <v>1039.5650545093977</v>
      </c>
    </row>
    <row r="21" spans="1:21" x14ac:dyDescent="0.25">
      <c r="A21" s="4">
        <v>1986</v>
      </c>
      <c r="B21" s="4">
        <v>374</v>
      </c>
      <c r="C21">
        <f t="shared" si="2"/>
        <v>9</v>
      </c>
      <c r="D21" s="5">
        <f t="shared" si="3"/>
        <v>0.42857142857142855</v>
      </c>
      <c r="E21" s="5">
        <f t="shared" si="4"/>
        <v>0.5714285714285714</v>
      </c>
      <c r="F21" s="6">
        <f t="shared" si="5"/>
        <v>1.75</v>
      </c>
      <c r="G21">
        <v>16</v>
      </c>
      <c r="H21">
        <f t="shared" si="6"/>
        <v>448</v>
      </c>
      <c r="I21" s="1">
        <f t="shared" si="7"/>
        <v>4.1999999999999993</v>
      </c>
      <c r="K21" s="5">
        <f t="shared" si="8"/>
        <v>0.76190476190476186</v>
      </c>
      <c r="L21" s="1">
        <f t="shared" si="0"/>
        <v>496.84781069717013</v>
      </c>
      <c r="M21" s="1">
        <f t="shared" si="9"/>
        <v>2386.1086099065687</v>
      </c>
      <c r="O21">
        <v>55</v>
      </c>
      <c r="P21" s="5">
        <f t="shared" si="10"/>
        <v>0.98181818181818181</v>
      </c>
      <c r="Q21" s="1">
        <f t="shared" si="11"/>
        <v>881.9936309284501</v>
      </c>
      <c r="R21">
        <f t="shared" si="1"/>
        <v>1063.6328841571908</v>
      </c>
    </row>
    <row r="22" spans="1:21" x14ac:dyDescent="0.25">
      <c r="A22" s="4">
        <v>1987</v>
      </c>
      <c r="B22" s="4">
        <v>188</v>
      </c>
      <c r="C22">
        <f t="shared" si="2"/>
        <v>3</v>
      </c>
      <c r="D22" s="5">
        <f t="shared" si="3"/>
        <v>0.14285714285714285</v>
      </c>
      <c r="E22" s="5">
        <f t="shared" si="4"/>
        <v>0.85714285714285721</v>
      </c>
      <c r="F22" s="6">
        <f t="shared" si="5"/>
        <v>1.1666666666666665</v>
      </c>
      <c r="G22">
        <v>17</v>
      </c>
      <c r="H22">
        <f t="shared" si="6"/>
        <v>502</v>
      </c>
      <c r="I22" s="1">
        <f t="shared" si="7"/>
        <v>5.25</v>
      </c>
      <c r="K22" s="5">
        <f t="shared" si="8"/>
        <v>0.80952380952380953</v>
      </c>
      <c r="L22" s="1">
        <f t="shared" si="0"/>
        <v>541.39295311536512</v>
      </c>
      <c r="M22" s="1">
        <f t="shared" si="9"/>
        <v>1551.8047551493544</v>
      </c>
      <c r="O22">
        <v>60</v>
      </c>
      <c r="P22" s="5">
        <f t="shared" si="10"/>
        <v>0.98333333333333328</v>
      </c>
      <c r="Q22" s="1">
        <f t="shared" si="11"/>
        <v>894.74490965550831</v>
      </c>
      <c r="R22">
        <f t="shared" si="1"/>
        <v>1085.8669226033712</v>
      </c>
    </row>
    <row r="23" spans="1:21" x14ac:dyDescent="0.25">
      <c r="A23" s="4">
        <v>1988</v>
      </c>
      <c r="B23" s="4">
        <v>192</v>
      </c>
      <c r="C23">
        <f t="shared" si="2"/>
        <v>4</v>
      </c>
      <c r="D23" s="5">
        <f t="shared" si="3"/>
        <v>0.19047619047619047</v>
      </c>
      <c r="E23" s="5">
        <f t="shared" si="4"/>
        <v>0.80952380952380953</v>
      </c>
      <c r="F23" s="6">
        <f t="shared" si="5"/>
        <v>1.2352941176470589</v>
      </c>
      <c r="G23">
        <v>18</v>
      </c>
      <c r="H23">
        <f t="shared" si="6"/>
        <v>525</v>
      </c>
      <c r="I23" s="1">
        <f t="shared" si="7"/>
        <v>6.9999999999999973</v>
      </c>
      <c r="K23" s="5">
        <f t="shared" si="8"/>
        <v>0.8571428571428571</v>
      </c>
      <c r="L23" s="1">
        <f t="shared" si="0"/>
        <v>599.31775161636256</v>
      </c>
      <c r="M23" s="1">
        <f t="shared" si="9"/>
        <v>5523.1282053113591</v>
      </c>
      <c r="O23">
        <v>65</v>
      </c>
      <c r="P23" s="5">
        <f t="shared" si="10"/>
        <v>0.98461538461538467</v>
      </c>
      <c r="Q23" s="1">
        <f t="shared" si="11"/>
        <v>906.46660055006396</v>
      </c>
      <c r="R23">
        <f t="shared" si="1"/>
        <v>1106.54465776597</v>
      </c>
    </row>
    <row r="24" spans="1:21" x14ac:dyDescent="0.25">
      <c r="A24" s="4">
        <v>1989</v>
      </c>
      <c r="B24" s="4">
        <v>448</v>
      </c>
      <c r="C24">
        <f t="shared" si="2"/>
        <v>16</v>
      </c>
      <c r="D24" s="5">
        <f t="shared" si="3"/>
        <v>0.76190476190476186</v>
      </c>
      <c r="E24" s="5">
        <f t="shared" si="4"/>
        <v>0.23809523809523814</v>
      </c>
      <c r="F24" s="6">
        <f t="shared" si="5"/>
        <v>4.1999999999999993</v>
      </c>
      <c r="G24">
        <v>19</v>
      </c>
      <c r="H24">
        <f t="shared" si="6"/>
        <v>713</v>
      </c>
      <c r="I24" s="1">
        <f t="shared" si="7"/>
        <v>10.5</v>
      </c>
      <c r="K24" s="5">
        <f t="shared" si="8"/>
        <v>0.90476190476190477</v>
      </c>
      <c r="L24" s="1">
        <f t="shared" si="0"/>
        <v>682.84891802566085</v>
      </c>
      <c r="M24" s="1">
        <f t="shared" si="9"/>
        <v>909.08774422331919</v>
      </c>
      <c r="O24">
        <v>70</v>
      </c>
      <c r="P24" s="5">
        <f t="shared" si="10"/>
        <v>0.98571428571428577</v>
      </c>
      <c r="Q24" s="1">
        <f t="shared" si="11"/>
        <v>917.31262472430421</v>
      </c>
      <c r="R24">
        <f t="shared" si="1"/>
        <v>1125.8838539282651</v>
      </c>
    </row>
    <row r="25" spans="1:21" x14ac:dyDescent="0.25">
      <c r="A25" s="4">
        <v>1990</v>
      </c>
      <c r="B25" s="4">
        <v>70</v>
      </c>
      <c r="C25">
        <f t="shared" si="2"/>
        <v>1</v>
      </c>
      <c r="D25" s="5">
        <f t="shared" si="3"/>
        <v>4.7619047619047616E-2</v>
      </c>
      <c r="E25" s="5">
        <f t="shared" si="4"/>
        <v>0.95238095238095233</v>
      </c>
      <c r="F25" s="6">
        <f t="shared" si="5"/>
        <v>1.05</v>
      </c>
      <c r="G25">
        <v>20</v>
      </c>
      <c r="H25">
        <f t="shared" si="6"/>
        <v>884</v>
      </c>
      <c r="I25" s="1">
        <f t="shared" si="7"/>
        <v>20.999999999999975</v>
      </c>
      <c r="K25" s="5">
        <f t="shared" si="8"/>
        <v>0.95238095238095233</v>
      </c>
      <c r="L25" s="1">
        <f t="shared" si="0"/>
        <v>833.31479751011739</v>
      </c>
      <c r="M25" s="1">
        <f t="shared" si="9"/>
        <v>2568.9897514404024</v>
      </c>
      <c r="O25">
        <v>75</v>
      </c>
      <c r="P25" s="5">
        <f t="shared" si="10"/>
        <v>0.98666666666666669</v>
      </c>
      <c r="Q25" s="1">
        <f t="shared" si="11"/>
        <v>927.40477365726929</v>
      </c>
      <c r="R25">
        <f t="shared" si="1"/>
        <v>1144.058692261955</v>
      </c>
    </row>
    <row r="26" spans="1:21" x14ac:dyDescent="0.25">
      <c r="O26">
        <v>80</v>
      </c>
      <c r="P26" s="5">
        <f t="shared" si="10"/>
        <v>0.98750000000000004</v>
      </c>
      <c r="Q26" s="1">
        <f t="shared" si="11"/>
        <v>936.84107298825074</v>
      </c>
      <c r="R26">
        <f t="shared" si="1"/>
        <v>1161.2107767561104</v>
      </c>
    </row>
    <row r="27" spans="1:21" x14ac:dyDescent="0.25">
      <c r="D27" s="3"/>
      <c r="O27">
        <v>85</v>
      </c>
      <c r="P27" s="5">
        <f t="shared" si="10"/>
        <v>0.9882352941176471</v>
      </c>
      <c r="Q27" s="1">
        <f t="shared" si="11"/>
        <v>945.70159023207862</v>
      </c>
      <c r="R27">
        <f t="shared" si="1"/>
        <v>1177.456854680514</v>
      </c>
    </row>
    <row r="28" spans="1:21" x14ac:dyDescent="0.25">
      <c r="D28" s="18"/>
      <c r="O28">
        <v>90</v>
      </c>
      <c r="P28" s="5">
        <f t="shared" si="10"/>
        <v>0.98888888888888893</v>
      </c>
      <c r="Q28" s="1">
        <f t="shared" si="11"/>
        <v>954.05257008434251</v>
      </c>
      <c r="R28">
        <f t="shared" si="1"/>
        <v>1192.894366051054</v>
      </c>
      <c r="T28" s="22" t="s">
        <v>14</v>
      </c>
      <c r="U28" s="22"/>
    </row>
    <row r="29" spans="1:21" x14ac:dyDescent="0.25">
      <c r="D29" s="11"/>
      <c r="O29">
        <v>95</v>
      </c>
      <c r="P29" s="5">
        <f t="shared" si="10"/>
        <v>0.98947368421052628</v>
      </c>
      <c r="Q29" s="1">
        <f t="shared" si="11"/>
        <v>961.94944390189357</v>
      </c>
      <c r="R29">
        <f t="shared" si="1"/>
        <v>1207.6055181143772</v>
      </c>
    </row>
    <row r="30" spans="1:21" x14ac:dyDescent="0.25">
      <c r="D30" s="5"/>
      <c r="E30" s="5"/>
      <c r="O30" s="9">
        <v>100</v>
      </c>
      <c r="P30" s="8">
        <f t="shared" si="10"/>
        <v>0.99</v>
      </c>
      <c r="Q30" s="7">
        <f t="shared" si="11"/>
        <v>969.43906225219939</v>
      </c>
      <c r="R30" s="11">
        <f t="shared" si="1"/>
        <v>1221.6603331388865</v>
      </c>
    </row>
    <row r="31" spans="1:21" x14ac:dyDescent="0.25">
      <c r="D31" s="2"/>
      <c r="E31" s="12"/>
      <c r="O31" s="9">
        <v>1000</v>
      </c>
      <c r="P31" s="13">
        <f t="shared" si="10"/>
        <v>0.999</v>
      </c>
      <c r="Q31" s="10">
        <f t="shared" si="11"/>
        <v>1304.578121818271</v>
      </c>
      <c r="R31" s="11">
        <f t="shared" si="1"/>
        <v>1964.8553827383853</v>
      </c>
    </row>
    <row r="32" spans="1:21" x14ac:dyDescent="0.25">
      <c r="D32" s="19"/>
      <c r="E32" s="5"/>
    </row>
    <row r="34" spans="4:26" x14ac:dyDescent="0.25">
      <c r="D34" s="3"/>
    </row>
    <row r="35" spans="4:26" x14ac:dyDescent="0.25">
      <c r="D35" s="18"/>
    </row>
    <row r="36" spans="4:26" x14ac:dyDescent="0.25">
      <c r="D36" s="20"/>
      <c r="E36" s="5"/>
    </row>
    <row r="37" spans="4:26" x14ac:dyDescent="0.25">
      <c r="D37" s="6"/>
      <c r="E37" s="1"/>
    </row>
    <row r="38" spans="4:26" x14ac:dyDescent="0.25">
      <c r="D38" s="1"/>
      <c r="E38" s="1"/>
    </row>
    <row r="39" spans="4:26" x14ac:dyDescent="0.25">
      <c r="D39" s="1"/>
      <c r="E39" s="14"/>
    </row>
    <row r="41" spans="4:26" x14ac:dyDescent="0.25">
      <c r="D41" s="21"/>
      <c r="E41" s="12"/>
      <c r="F41" s="12"/>
      <c r="G41" s="12"/>
      <c r="H41" s="2"/>
    </row>
    <row r="42" spans="4:26" x14ac:dyDescent="0.25">
      <c r="D42" s="1"/>
      <c r="E42" s="12"/>
      <c r="F42" s="12"/>
      <c r="G42" s="12"/>
      <c r="H42" s="12"/>
    </row>
    <row r="43" spans="4:26" x14ac:dyDescent="0.25">
      <c r="D43" s="1"/>
      <c r="E43" s="12"/>
      <c r="F43" s="12"/>
    </row>
    <row r="46" spans="4:26" x14ac:dyDescent="0.25">
      <c r="W46" t="s">
        <v>19</v>
      </c>
      <c r="X46" t="s">
        <v>21</v>
      </c>
      <c r="Y46" t="s">
        <v>24</v>
      </c>
      <c r="Z46" t="s">
        <v>23</v>
      </c>
    </row>
    <row r="47" spans="4:26" x14ac:dyDescent="0.25">
      <c r="W47">
        <v>50</v>
      </c>
      <c r="X47">
        <f>1/W47</f>
        <v>0.02</v>
      </c>
      <c r="Y47">
        <f>1-X47</f>
        <v>0.98</v>
      </c>
      <c r="Z47">
        <f>lambda*psi-lambda*LN(-LN(Y47))</f>
        <v>868.0143122544589</v>
      </c>
    </row>
    <row r="48" spans="4:26" x14ac:dyDescent="0.25">
      <c r="W48">
        <v>100</v>
      </c>
      <c r="X48">
        <f t="shared" ref="X48:X49" si="14">1/W48</f>
        <v>0.01</v>
      </c>
      <c r="Y48">
        <f t="shared" ref="Y48:Y49" si="15">1-X48</f>
        <v>0.99</v>
      </c>
      <c r="Z48">
        <f>lambda*psi-lambda*LN(-LN(Y48))</f>
        <v>969.43906225219939</v>
      </c>
    </row>
    <row r="49" spans="23:26" x14ac:dyDescent="0.25">
      <c r="W49">
        <v>1000</v>
      </c>
      <c r="X49">
        <f t="shared" si="14"/>
        <v>1E-3</v>
      </c>
      <c r="Y49">
        <f t="shared" si="15"/>
        <v>0.999</v>
      </c>
      <c r="Z49">
        <f>lambda*psi-lambda*LN(-LN(Y49))</f>
        <v>1304.578121818271</v>
      </c>
    </row>
  </sheetData>
  <mergeCells count="2">
    <mergeCell ref="T1:U1"/>
    <mergeCell ref="T28:U2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In_Class_1</vt:lpstr>
      <vt:lpstr>In_Class_2</vt:lpstr>
      <vt:lpstr>In_Class_2_Solved_and_GEV</vt:lpstr>
      <vt:lpstr>In_Class_1!lambda</vt:lpstr>
      <vt:lpstr>lambda</vt:lpstr>
      <vt:lpstr>In_Class_1!psi</vt:lpstr>
      <vt:lpstr>psi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Ιωάννης Τσουκαλάς</cp:lastModifiedBy>
  <dcterms:created xsi:type="dcterms:W3CDTF">2023-11-13T09:44:12Z</dcterms:created>
  <dcterms:modified xsi:type="dcterms:W3CDTF">2024-11-24T14:48:14Z</dcterms:modified>
</cp:coreProperties>
</file>