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'Sheet1'!$A$1:$K$103</definedName>
  </definedNames>
  <calcPr fullCalcOnLoad="1"/>
</workbook>
</file>

<file path=xl/sharedStrings.xml><?xml version="1.0" encoding="utf-8"?>
<sst xmlns="http://schemas.openxmlformats.org/spreadsheetml/2006/main" count="148" uniqueCount="120">
  <si>
    <t>όγκος</t>
  </si>
  <si>
    <t>ΔΑΠΕΔΟ</t>
  </si>
  <si>
    <t xml:space="preserve"> </t>
  </si>
  <si>
    <t>καθίσματα</t>
  </si>
  <si>
    <t>θεατές</t>
  </si>
  <si>
    <t>θεατές σε υφασμάτινα καθίσματα</t>
  </si>
  <si>
    <t>ξύλινο σε δοκίδες</t>
  </si>
  <si>
    <t xml:space="preserve">υπόλοιπο δάπεδο </t>
  </si>
  <si>
    <t>ΜΠΡΟΣΤΑ ΤΟΙΧΟΣ</t>
  </si>
  <si>
    <t>πόρτες</t>
  </si>
  <si>
    <t>βαρείς υαλοπίνακες</t>
  </si>
  <si>
    <t>ΠΙΣΩ ΤΟΙΧΟΣ</t>
  </si>
  <si>
    <t>ΨΕΥΔΟΡΟΦΗ</t>
  </si>
  <si>
    <t>αραιά, μεταλλικά</t>
  </si>
  <si>
    <t>διάτρητη γυψοσανίδα</t>
  </si>
  <si>
    <t>ΠΛΑΓΙΟΙ ΤΟΙΧΟΙ</t>
  </si>
  <si>
    <t>ΣΥΝΟΛΟ</t>
  </si>
  <si>
    <t>Ανάλυση επιφανειών</t>
  </si>
  <si>
    <t>m2</t>
  </si>
  <si>
    <t>υπόλοιπο δάπεδο</t>
  </si>
  <si>
    <t>γρίλλιες-σίτες</t>
  </si>
  <si>
    <t>κρύσταλα</t>
  </si>
  <si>
    <t>υαλοπίνακες</t>
  </si>
  <si>
    <t>Υπολογισμός χρόνου αντήχησης</t>
  </si>
  <si>
    <t>υλικό / εμβαδον</t>
  </si>
  <si>
    <t xml:space="preserve"> Hz</t>
  </si>
  <si>
    <t>Θεατές</t>
  </si>
  <si>
    <t>ΜΕΤΑΒΛΗΤΟ</t>
  </si>
  <si>
    <t>Καθίσματα</t>
  </si>
  <si>
    <t>υφασμάτινα</t>
  </si>
  <si>
    <t>ΣΤΑΘΕΡΟ</t>
  </si>
  <si>
    <t>Γρίλλιες - σίτες</t>
  </si>
  <si>
    <t>Ατμόσφαιρα</t>
  </si>
  <si>
    <t>ελεύθ. όγκος</t>
  </si>
  <si>
    <t>ΑΠΟΡΡΟΦΗΣΗ</t>
  </si>
  <si>
    <t>ΕΜΒΑΔΟΝ</t>
  </si>
  <si>
    <t>ΟΓΚΟΣ (m3)</t>
  </si>
  <si>
    <t>TR  (sec)</t>
  </si>
  <si>
    <t>άνω όριο +5%</t>
  </si>
  <si>
    <t>πρόταση</t>
  </si>
  <si>
    <t>κάτω όριο -5%</t>
  </si>
  <si>
    <t>Επιμετρήσεις</t>
  </si>
  <si>
    <t>ξύλινο κολλητό σε σκυρόδεμα</t>
  </si>
  <si>
    <t>αραιά, μεταλλικά στοιχεία</t>
  </si>
  <si>
    <t>ανακλαστήρες τοίχου</t>
  </si>
  <si>
    <t>μεταλλικά, αραιά στοιχεία</t>
  </si>
  <si>
    <t>Αθανασόπουλος Νο 49</t>
  </si>
  <si>
    <t>Αθανασόπουλος Νο 46</t>
  </si>
  <si>
    <t>L.L. BeraneK</t>
  </si>
  <si>
    <t>Αθανασόπουλος Νο 30</t>
  </si>
  <si>
    <t>Αθανασόπουλος Νο 7</t>
  </si>
  <si>
    <t>ποσότητα = V/100m3</t>
  </si>
  <si>
    <t>C.M Harris</t>
  </si>
  <si>
    <t>ΒΙΒΛΙΟΓΡΑΦΙΚΗ ΠΗΓΗ</t>
  </si>
  <si>
    <t>εμβαδόν</t>
  </si>
  <si>
    <t>χωρητικότητα</t>
  </si>
  <si>
    <t>ΑΝΑΛΟΓΙΕΣ</t>
  </si>
  <si>
    <t>m3/θεατή</t>
  </si>
  <si>
    <t>m2/θεατή</t>
  </si>
  <si>
    <t>στηθαίο εξέδρας</t>
  </si>
  <si>
    <t>βάθρο εξέδρας</t>
  </si>
  <si>
    <t>1ος ανακλαστ.</t>
  </si>
  <si>
    <t>2ος ανακλαστ.</t>
  </si>
  <si>
    <t>Η/Μ ανοίγματα</t>
  </si>
  <si>
    <t>κρύσταλλα</t>
  </si>
  <si>
    <t>υπόλοιπα πίσω</t>
  </si>
  <si>
    <t>ηχοαπορρ. ψ/ο</t>
  </si>
  <si>
    <t>Κρύσταλλα</t>
  </si>
  <si>
    <t>TR ideal</t>
  </si>
  <si>
    <t xml:space="preserve">συχνοτική καμπύλη στόχου </t>
  </si>
  <si>
    <t>(συχνότητες 125 ως 4000Hz)</t>
  </si>
  <si>
    <t>διάτρητη ξυλεπ.</t>
  </si>
  <si>
    <t>συμπαγής ξυλεπ.</t>
  </si>
  <si>
    <t>διάτρητη γυψοσαν.</t>
  </si>
  <si>
    <t>συμπαγής γυψοσ.</t>
  </si>
  <si>
    <t>ανακλιόμενα, με υφασμάτινη στόφα</t>
  </si>
  <si>
    <t>συμπαγής γυψοσανίδα</t>
  </si>
  <si>
    <t>ξύλινο σε δοκίδες με διάκενο &amp; ΕΟΠΛ 10cm</t>
  </si>
  <si>
    <t>ΕΝΔΕΙΚΤΙΚΟΣ ΥΠΟΛΟΓΙΣΜΟΣ ΧΡΟΝΟΥ ΑΝΤΗΧΗΣΗΣ</t>
  </si>
  <si>
    <t xml:space="preserve">σύνολο ψ/ο </t>
  </si>
  <si>
    <t>σύνολο ανακλαστήρων</t>
  </si>
  <si>
    <t>υπόλοιπο απορροφ. ψ/ο</t>
  </si>
  <si>
    <t>3ος ανακλαστ</t>
  </si>
  <si>
    <t>Η/Μ περίπου 15%</t>
  </si>
  <si>
    <t>απορρ ψ/οροφή</t>
  </si>
  <si>
    <t>κενό αυλαίας</t>
  </si>
  <si>
    <t>μπούκα</t>
  </si>
  <si>
    <t>ξύλο διπλής όψης</t>
  </si>
  <si>
    <t>ηχομονωτικές</t>
  </si>
  <si>
    <t>ανακλαστικά</t>
  </si>
  <si>
    <t>υπόλοιπα</t>
  </si>
  <si>
    <t>συμπαγή</t>
  </si>
  <si>
    <t>κενά παρασκηνίων</t>
  </si>
  <si>
    <t>50% χωρητικότητα - 115 θεατές</t>
  </si>
  <si>
    <t>115 άδεια καθίσματα με υφασμάτινη στόφα</t>
  </si>
  <si>
    <t>δάπεδο εξέδρας</t>
  </si>
  <si>
    <t>κενό</t>
  </si>
  <si>
    <t>ανακλαστήρες ψ/ο</t>
  </si>
  <si>
    <t>Βάθρο εξέδρας</t>
  </si>
  <si>
    <t>Ξύλινα διπλής όψης</t>
  </si>
  <si>
    <t>Κενό</t>
  </si>
  <si>
    <t>Ξύλο κολλητό</t>
  </si>
  <si>
    <t>Ανακλ τοίχου</t>
  </si>
  <si>
    <t>Ανακλ ψ/ο</t>
  </si>
  <si>
    <t xml:space="preserve">Απορρ ψ/ο     </t>
  </si>
  <si>
    <t>σταθερός συντελεστής Αθανασόπ. Νο 53</t>
  </si>
  <si>
    <t>σταθερός συντελεστής Αθανασόπ. Νο 54</t>
  </si>
  <si>
    <t>Αθανασόπουλος Νο 31</t>
  </si>
  <si>
    <t>Αθανασόπουλος Νο 38</t>
  </si>
  <si>
    <t>Αθανασόπουλος Νο 36</t>
  </si>
  <si>
    <t>προϊόν εμπορίου</t>
  </si>
  <si>
    <t>συμπαγής γυψοδανίδα</t>
  </si>
  <si>
    <t>ηχοαπορρ. τοίχ</t>
  </si>
  <si>
    <t xml:space="preserve">ηχο-απορροφητικά </t>
  </si>
  <si>
    <t xml:space="preserve">Απορρ τοίχου </t>
  </si>
  <si>
    <t>ξύλινες πλάκες πάχους 3εκ (επιφ βάρος 25~30Κ) κολλητά στο τοίχωμα</t>
  </si>
  <si>
    <t>γυψοσανίδα τ. 6/18, διάτρησης περίπου 10% σε κοιλότητα 40εκ</t>
  </si>
  <si>
    <t xml:space="preserve">ξύλινες πλάκες πάχους 12χιλ, με διάτρηση περίπου 10% </t>
  </si>
  <si>
    <t>σε κοιλότητα 15εκ με υαλούφασμα &amp; πετροβάμβακα 5εκ</t>
  </si>
  <si>
    <t>ξύλινα διπλής όψις (επιφ.βάρος περίπου 20Κ)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</si>
</sst>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0.000"/>
    <numFmt numFmtId="175" formatCode="0.0"/>
    <numFmt numFmtId="176" formatCode="0.00000"/>
    <numFmt numFmtId="177" formatCode="0.0000"/>
    <numFmt numFmtId="178" formatCode="0.0%"/>
    <numFmt numFmtId="179" formatCode="0.0000000"/>
    <numFmt numFmtId="180" formatCode="0.000000"/>
  </numFmts>
  <fonts count="58">
    <font>
      <sz val="10"/>
      <name val="UB-AvantGarde"/>
      <family val="0"/>
    </font>
    <font>
      <b/>
      <sz val="10"/>
      <name val="PA-Fashion"/>
      <family val="0"/>
    </font>
    <font>
      <i/>
      <sz val="10"/>
      <name val="PA-Fashion"/>
      <family val="0"/>
    </font>
    <font>
      <b/>
      <i/>
      <sz val="10"/>
      <name val="PA-Fashion"/>
      <family val="0"/>
    </font>
    <font>
      <sz val="10"/>
      <name val="PA-Fashion"/>
      <family val="0"/>
    </font>
    <font>
      <sz val="10"/>
      <name val="Arial Greek"/>
      <family val="2"/>
    </font>
    <font>
      <i/>
      <sz val="11"/>
      <name val="Arial Greek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UB-AvantGarde"/>
      <family val="0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b/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0" fillId="31" borderId="0" applyNumberFormat="0" applyBorder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 quotePrefix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2" fontId="13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 quotePrefix="1">
      <alignment horizontal="center"/>
    </xf>
    <xf numFmtId="2" fontId="10" fillId="0" borderId="0" xfId="0" applyNumberFormat="1" applyFont="1" applyAlignment="1">
      <alignment horizontal="center"/>
    </xf>
    <xf numFmtId="174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0" fontId="8" fillId="0" borderId="11" xfId="0" applyFont="1" applyBorder="1" applyAlignment="1" quotePrefix="1">
      <alignment horizontal="left"/>
    </xf>
    <xf numFmtId="0" fontId="11" fillId="0" borderId="0" xfId="0" applyFont="1" applyBorder="1" applyAlignment="1">
      <alignment/>
    </xf>
    <xf numFmtId="0" fontId="8" fillId="0" borderId="12" xfId="0" applyFont="1" applyBorder="1" applyAlignment="1" quotePrefix="1">
      <alignment/>
    </xf>
    <xf numFmtId="0" fontId="10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/>
    </xf>
    <xf numFmtId="0" fontId="8" fillId="0" borderId="14" xfId="0" applyFont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2" fillId="33" borderId="10" xfId="0" applyNumberFormat="1" applyFont="1" applyFill="1" applyBorder="1" applyAlignment="1" quotePrefix="1">
      <alignment horizontal="center"/>
    </xf>
    <xf numFmtId="2" fontId="12" fillId="33" borderId="10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1" fontId="20" fillId="33" borderId="0" xfId="0" applyNumberFormat="1" applyFont="1" applyFill="1" applyAlignment="1">
      <alignment horizontal="center"/>
    </xf>
    <xf numFmtId="2" fontId="16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 horizontal="left"/>
    </xf>
    <xf numFmtId="2" fontId="16" fillId="33" borderId="1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8" fillId="0" borderId="0" xfId="0" applyFont="1" applyAlignment="1" quotePrefix="1">
      <alignment horizontal="center"/>
    </xf>
    <xf numFmtId="0" fontId="11" fillId="0" borderId="0" xfId="0" applyFont="1" applyAlignment="1">
      <alignment horizontal="left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6" fillId="0" borderId="10" xfId="0" applyFont="1" applyBorder="1" applyAlignment="1">
      <alignment horizontal="right"/>
    </xf>
    <xf numFmtId="2" fontId="15" fillId="33" borderId="10" xfId="0" applyNumberFormat="1" applyFont="1" applyFill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174" fontId="15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2" fontId="20" fillId="0" borderId="10" xfId="0" applyNumberFormat="1" applyFont="1" applyBorder="1" applyAlignment="1">
      <alignment horizontal="center"/>
    </xf>
    <xf numFmtId="2" fontId="20" fillId="33" borderId="20" xfId="0" applyNumberFormat="1" applyFont="1" applyFill="1" applyBorder="1" applyAlignment="1">
      <alignment horizontal="center"/>
    </xf>
    <xf numFmtId="0" fontId="14" fillId="0" borderId="16" xfId="0" applyFont="1" applyBorder="1" applyAlignment="1">
      <alignment/>
    </xf>
    <xf numFmtId="0" fontId="0" fillId="0" borderId="16" xfId="0" applyBorder="1" applyAlignment="1">
      <alignment/>
    </xf>
    <xf numFmtId="0" fontId="20" fillId="33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7" xfId="0" applyFont="1" applyBorder="1" applyAlignment="1">
      <alignment/>
    </xf>
    <xf numFmtId="175" fontId="19" fillId="33" borderId="21" xfId="0" applyNumberFormat="1" applyFont="1" applyFill="1" applyBorder="1" applyAlignment="1">
      <alignment horizontal="center"/>
    </xf>
    <xf numFmtId="0" fontId="11" fillId="0" borderId="21" xfId="0" applyFont="1" applyBorder="1" applyAlignment="1">
      <alignment/>
    </xf>
    <xf numFmtId="175" fontId="19" fillId="33" borderId="19" xfId="0" applyNumberFormat="1" applyFont="1" applyFill="1" applyBorder="1" applyAlignment="1">
      <alignment horizontal="center"/>
    </xf>
    <xf numFmtId="175" fontId="19" fillId="0" borderId="0" xfId="0" applyNumberFormat="1" applyFont="1" applyBorder="1" applyAlignment="1" quotePrefix="1">
      <alignment horizontal="center"/>
    </xf>
    <xf numFmtId="1" fontId="21" fillId="33" borderId="1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16" fillId="33" borderId="13" xfId="0" applyFont="1" applyFill="1" applyBorder="1" applyAlignment="1">
      <alignment/>
    </xf>
    <xf numFmtId="175" fontId="11" fillId="34" borderId="0" xfId="0" applyNumberFormat="1" applyFont="1" applyFill="1" applyBorder="1" applyAlignment="1">
      <alignment horizontal="center"/>
    </xf>
    <xf numFmtId="175" fontId="10" fillId="35" borderId="0" xfId="0" applyNumberFormat="1" applyFont="1" applyFill="1" applyBorder="1" applyAlignment="1">
      <alignment horizontal="center"/>
    </xf>
    <xf numFmtId="175" fontId="0" fillId="35" borderId="0" xfId="0" applyNumberForma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175" fontId="19" fillId="33" borderId="0" xfId="0" applyNumberFormat="1" applyFont="1" applyFill="1" applyBorder="1" applyAlignment="1">
      <alignment horizontal="center"/>
    </xf>
    <xf numFmtId="175" fontId="19" fillId="0" borderId="22" xfId="0" applyNumberFormat="1" applyFont="1" applyBorder="1" applyAlignment="1" quotePrefix="1">
      <alignment horizontal="center"/>
    </xf>
    <xf numFmtId="175" fontId="19" fillId="0" borderId="23" xfId="0" applyNumberFormat="1" applyFont="1" applyBorder="1" applyAlignment="1" quotePrefix="1">
      <alignment horizontal="center"/>
    </xf>
    <xf numFmtId="175" fontId="16" fillId="35" borderId="0" xfId="0" applyNumberFormat="1" applyFont="1" applyFill="1" applyAlignment="1">
      <alignment/>
    </xf>
    <xf numFmtId="0" fontId="16" fillId="35" borderId="0" xfId="0" applyFont="1" applyFill="1" applyAlignment="1">
      <alignment/>
    </xf>
    <xf numFmtId="175" fontId="16" fillId="35" borderId="0" xfId="0" applyNumberFormat="1" applyFont="1" applyFill="1" applyAlignment="1">
      <alignment horizontal="right"/>
    </xf>
    <xf numFmtId="175" fontId="15" fillId="35" borderId="10" xfId="0" applyNumberFormat="1" applyFont="1" applyFill="1" applyBorder="1" applyAlignment="1">
      <alignment/>
    </xf>
    <xf numFmtId="175" fontId="15" fillId="0" borderId="0" xfId="0" applyNumberFormat="1" applyFont="1" applyAlignment="1">
      <alignment horizontal="center"/>
    </xf>
    <xf numFmtId="175" fontId="56" fillId="0" borderId="0" xfId="0" applyNumberFormat="1" applyFont="1" applyAlignment="1">
      <alignment/>
    </xf>
    <xf numFmtId="175" fontId="57" fillId="0" borderId="0" xfId="0" applyNumberFormat="1" applyFont="1" applyAlignment="1">
      <alignment/>
    </xf>
    <xf numFmtId="175" fontId="11" fillId="0" borderId="0" xfId="0" applyNumberFormat="1" applyFont="1" applyBorder="1" applyAlignment="1" quotePrefix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5"/>
  <sheetViews>
    <sheetView tabSelected="1" zoomScale="109" zoomScaleNormal="109" zoomScalePageLayoutView="0" workbookViewId="0" topLeftCell="A79">
      <selection activeCell="H93" sqref="H93"/>
    </sheetView>
  </sheetViews>
  <sheetFormatPr defaultColWidth="9.00390625" defaultRowHeight="12.75"/>
  <cols>
    <col min="1" max="1" width="21.75390625" style="0" customWidth="1"/>
    <col min="2" max="2" width="15.875" style="0" customWidth="1"/>
    <col min="3" max="8" width="8.75390625" style="0" customWidth="1"/>
    <col min="9" max="9" width="5.75390625" style="0" customWidth="1"/>
    <col min="10" max="10" width="6.75390625" style="0" customWidth="1"/>
    <col min="11" max="11" width="11.75390625" style="0" customWidth="1"/>
    <col min="12" max="18" width="7.75390625" style="0" customWidth="1"/>
    <col min="19" max="19" width="35.75390625" style="0" customWidth="1"/>
    <col min="20" max="27" width="7.75390625" style="0" customWidth="1"/>
  </cols>
  <sheetData>
    <row r="1" spans="1:19" ht="19.5" customHeight="1">
      <c r="A1" s="6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9.5" customHeight="1">
      <c r="A2" s="13"/>
      <c r="B2" s="67"/>
      <c r="C2" s="68"/>
      <c r="D2" s="68"/>
      <c r="E2" s="68"/>
      <c r="F2" s="6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9.5" customHeight="1">
      <c r="A3" s="13" t="s">
        <v>0</v>
      </c>
      <c r="B3" s="84">
        <f>110*10.8</f>
        <v>1188</v>
      </c>
      <c r="C3" s="13"/>
      <c r="D3" s="13"/>
      <c r="E3" s="13"/>
      <c r="F3" s="9"/>
      <c r="G3" s="3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9.5" customHeight="1">
      <c r="A4" s="9"/>
      <c r="B4" s="9"/>
      <c r="C4" s="9"/>
      <c r="D4" s="43"/>
      <c r="E4" s="44"/>
      <c r="F4" s="53">
        <f>B3/B7</f>
        <v>5.5</v>
      </c>
      <c r="G4" s="64" t="s">
        <v>57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9.5" customHeight="1">
      <c r="A5" s="13" t="s">
        <v>54</v>
      </c>
      <c r="B5" s="84">
        <v>220</v>
      </c>
      <c r="C5" s="9"/>
      <c r="D5" s="45" t="s">
        <v>56</v>
      </c>
      <c r="E5" s="8"/>
      <c r="F5" s="54"/>
      <c r="G5" s="8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9.5" customHeight="1">
      <c r="A6" s="9"/>
      <c r="B6" s="9"/>
      <c r="C6" s="9"/>
      <c r="D6" s="47"/>
      <c r="E6" s="48"/>
      <c r="F6" s="55">
        <f>B5/B7</f>
        <v>1.0185185185185186</v>
      </c>
      <c r="G6" s="65" t="s">
        <v>58</v>
      </c>
      <c r="H6" s="9"/>
      <c r="I6" s="8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9.5" customHeight="1">
      <c r="A7" s="13" t="s">
        <v>55</v>
      </c>
      <c r="B7" s="84">
        <v>216</v>
      </c>
      <c r="C7" s="9"/>
      <c r="D7" s="8"/>
      <c r="E7" s="8"/>
      <c r="F7" s="51"/>
      <c r="G7" s="46"/>
      <c r="H7" s="9"/>
      <c r="I7" s="8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9.5" customHeight="1" thickBot="1">
      <c r="A8" s="9"/>
      <c r="B8" s="9"/>
      <c r="C8" s="9"/>
      <c r="D8" s="8"/>
      <c r="E8" s="8"/>
      <c r="F8" s="51"/>
      <c r="G8" s="46"/>
      <c r="H8" s="9"/>
      <c r="I8" s="8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9.5" customHeight="1" thickBot="1">
      <c r="A9" s="13" t="s">
        <v>68</v>
      </c>
      <c r="B9" s="73">
        <f>0.075*(POWER(B3,0.333))</f>
        <v>0.7924559637888425</v>
      </c>
      <c r="C9" s="52"/>
      <c r="D9" s="52"/>
      <c r="E9" s="52"/>
      <c r="F9" s="52"/>
      <c r="G9" s="52"/>
      <c r="H9" s="52"/>
      <c r="I9" s="8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9.5" customHeight="1">
      <c r="A10" s="9"/>
      <c r="B10" s="52"/>
      <c r="C10" s="9"/>
      <c r="D10" s="52"/>
      <c r="E10" s="52"/>
      <c r="F10" s="52"/>
      <c r="G10" s="52"/>
      <c r="H10" s="52"/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9.5" customHeight="1">
      <c r="A11" s="13" t="s">
        <v>69</v>
      </c>
      <c r="B11" s="52"/>
      <c r="C11" s="63">
        <f>B9*1.25</f>
        <v>0.9905699547360531</v>
      </c>
      <c r="D11" s="63">
        <f>B9*1.07</f>
        <v>0.8479278812540616</v>
      </c>
      <c r="E11" s="63">
        <f>B9</f>
        <v>0.7924559637888425</v>
      </c>
      <c r="F11" s="63">
        <f>B9*0.97</f>
        <v>0.7686822848751772</v>
      </c>
      <c r="G11" s="63">
        <f>B9*0.93</f>
        <v>0.7369840463236236</v>
      </c>
      <c r="H11" s="63">
        <f>B9*0.9</f>
        <v>0.7132103674099582</v>
      </c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9.5" customHeight="1">
      <c r="A12" s="13" t="s">
        <v>70</v>
      </c>
      <c r="B12" s="9"/>
      <c r="C12" s="30"/>
      <c r="D12" s="8"/>
      <c r="E12" s="8"/>
      <c r="F12" s="51"/>
      <c r="G12" s="46"/>
      <c r="H12" s="9"/>
      <c r="I12" s="8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9.5" customHeight="1">
      <c r="A14" s="16" t="s">
        <v>41</v>
      </c>
      <c r="B14" s="57" t="s">
        <v>18</v>
      </c>
      <c r="C14" s="9"/>
      <c r="D14" s="31"/>
      <c r="E14" s="11"/>
      <c r="F14" s="9"/>
      <c r="G14" s="9"/>
      <c r="H14" s="9"/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9.5" customHeight="1">
      <c r="A15" s="6"/>
      <c r="B15" s="9"/>
      <c r="C15" s="9"/>
      <c r="D15" s="9"/>
      <c r="E15" s="9"/>
      <c r="F15" s="9"/>
      <c r="G15" s="9"/>
      <c r="H15" s="9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9.5" customHeight="1">
      <c r="A16" s="16" t="s">
        <v>1</v>
      </c>
      <c r="B16" s="31"/>
      <c r="C16" s="9"/>
      <c r="D16" s="10"/>
      <c r="E16" s="11"/>
      <c r="F16" s="10" t="s">
        <v>2</v>
      </c>
      <c r="G16" s="9"/>
      <c r="H16" s="9"/>
      <c r="I16" s="13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9.5" customHeight="1">
      <c r="A17" s="8" t="s">
        <v>4</v>
      </c>
      <c r="B17" s="89">
        <f>216*0.5*0.55*0.9</f>
        <v>53.46000000000001</v>
      </c>
      <c r="C17" s="56" t="s">
        <v>5</v>
      </c>
      <c r="D17" s="11"/>
      <c r="E17" s="10"/>
      <c r="F17" s="9"/>
      <c r="G17" s="30"/>
      <c r="H17" s="37"/>
      <c r="I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9.5" customHeight="1">
      <c r="A18" s="8" t="s">
        <v>3</v>
      </c>
      <c r="B18" s="89">
        <f>216*0.5*0.55*0.55</f>
        <v>32.67000000000001</v>
      </c>
      <c r="C18" s="56" t="s">
        <v>75</v>
      </c>
      <c r="D18" s="11"/>
      <c r="E18" s="10"/>
      <c r="F18" s="9"/>
      <c r="G18" s="30"/>
      <c r="H18" s="37"/>
      <c r="I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9.5" customHeight="1">
      <c r="A19" s="8" t="s">
        <v>95</v>
      </c>
      <c r="B19" s="85">
        <v>47.2</v>
      </c>
      <c r="C19" s="56" t="s">
        <v>6</v>
      </c>
      <c r="D19" s="11"/>
      <c r="E19" s="10"/>
      <c r="F19" s="9"/>
      <c r="G19" s="9"/>
      <c r="H19" s="9"/>
      <c r="I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9.5" customHeight="1">
      <c r="A20" s="8" t="s">
        <v>7</v>
      </c>
      <c r="B20" s="93">
        <f>B5-B17-B18-B19</f>
        <v>86.66999999999997</v>
      </c>
      <c r="C20" s="56" t="s">
        <v>42</v>
      </c>
      <c r="D20" s="11"/>
      <c r="E20" s="10"/>
      <c r="F20" s="9"/>
      <c r="G20" s="9"/>
      <c r="H20" s="9"/>
      <c r="I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9.5" customHeight="1">
      <c r="A21" s="8" t="s">
        <v>59</v>
      </c>
      <c r="B21" s="85">
        <v>8.8</v>
      </c>
      <c r="C21" s="56" t="s">
        <v>6</v>
      </c>
      <c r="D21" s="11"/>
      <c r="E21" s="10"/>
      <c r="F21" s="9"/>
      <c r="G21" s="9"/>
      <c r="H21" s="9"/>
      <c r="I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9.5" customHeight="1">
      <c r="A22" s="8"/>
      <c r="B22" s="8"/>
      <c r="C22" s="9"/>
      <c r="D22" s="9"/>
      <c r="E22" s="9"/>
      <c r="F22" s="9"/>
      <c r="G22" s="9"/>
      <c r="H22" s="9"/>
      <c r="I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9.5" customHeight="1">
      <c r="A23" s="70" t="s">
        <v>12</v>
      </c>
      <c r="B23" s="10"/>
      <c r="C23" s="56"/>
      <c r="D23" s="11"/>
      <c r="E23" s="10"/>
      <c r="K23" s="9"/>
      <c r="L23" s="9"/>
      <c r="M23" s="9"/>
      <c r="N23" s="9"/>
      <c r="O23" s="9"/>
      <c r="P23" s="9"/>
      <c r="Q23" s="9"/>
      <c r="R23" s="9"/>
      <c r="S23" s="9"/>
    </row>
    <row r="24" spans="1:19" ht="19.5" customHeight="1">
      <c r="A24" s="8" t="s">
        <v>61</v>
      </c>
      <c r="B24" s="86">
        <v>6.2</v>
      </c>
      <c r="C24" s="56" t="s">
        <v>76</v>
      </c>
      <c r="D24" s="9"/>
      <c r="E24" s="9"/>
      <c r="F24" s="61" t="s">
        <v>79</v>
      </c>
      <c r="G24" s="74"/>
      <c r="H24" s="75"/>
      <c r="I24" s="76">
        <f>B5</f>
        <v>220</v>
      </c>
      <c r="K24" s="9"/>
      <c r="L24" s="34"/>
      <c r="M24" s="9"/>
      <c r="N24" s="9"/>
      <c r="O24" s="9"/>
      <c r="P24" s="9"/>
      <c r="Q24" s="9"/>
      <c r="R24" s="9"/>
      <c r="S24" s="9"/>
    </row>
    <row r="25" spans="1:19" ht="19.5" customHeight="1">
      <c r="A25" s="8" t="s">
        <v>62</v>
      </c>
      <c r="B25" s="86">
        <v>7.1</v>
      </c>
      <c r="C25" s="56" t="s">
        <v>76</v>
      </c>
      <c r="D25" s="13"/>
      <c r="E25" s="13"/>
      <c r="F25" s="78"/>
      <c r="G25" s="24"/>
      <c r="H25" s="8"/>
      <c r="I25" s="80"/>
      <c r="K25" s="9"/>
      <c r="L25" s="9"/>
      <c r="M25" s="9"/>
      <c r="N25" s="27"/>
      <c r="O25" s="9"/>
      <c r="P25" s="9"/>
      <c r="Q25" s="9"/>
      <c r="R25" s="9"/>
      <c r="S25" s="9"/>
    </row>
    <row r="26" spans="1:19" ht="19.5" customHeight="1">
      <c r="A26" s="8" t="s">
        <v>82</v>
      </c>
      <c r="B26" s="86">
        <v>43</v>
      </c>
      <c r="C26" s="56" t="s">
        <v>76</v>
      </c>
      <c r="D26" s="11"/>
      <c r="E26" s="10"/>
      <c r="F26" s="78" t="s">
        <v>80</v>
      </c>
      <c r="G26" s="24"/>
      <c r="H26" s="8"/>
      <c r="I26" s="79">
        <f>B24+B25+B26</f>
        <v>56.3</v>
      </c>
      <c r="K26" s="9"/>
      <c r="L26" s="9"/>
      <c r="M26" s="9"/>
      <c r="N26" s="9"/>
      <c r="O26" s="9"/>
      <c r="P26" s="9"/>
      <c r="Q26" s="9"/>
      <c r="R26" s="9"/>
      <c r="S26" s="9"/>
    </row>
    <row r="27" spans="1:19" ht="19.5" customHeight="1">
      <c r="A27" s="8" t="s">
        <v>63</v>
      </c>
      <c r="B27" s="90">
        <f>I27</f>
        <v>33</v>
      </c>
      <c r="C27" s="56" t="s">
        <v>43</v>
      </c>
      <c r="D27" s="11"/>
      <c r="E27" s="10"/>
      <c r="F27" s="78" t="s">
        <v>83</v>
      </c>
      <c r="G27" s="24"/>
      <c r="H27" s="77"/>
      <c r="I27" s="79">
        <f>0.15*I24</f>
        <v>33</v>
      </c>
      <c r="K27" s="9"/>
      <c r="L27" s="9"/>
      <c r="M27" s="9"/>
      <c r="N27" s="9"/>
      <c r="O27" s="9"/>
      <c r="P27" s="9"/>
      <c r="Q27" s="9"/>
      <c r="R27" s="9"/>
      <c r="S27" s="9"/>
    </row>
    <row r="28" spans="1:19" ht="19.5" customHeight="1">
      <c r="A28" s="71" t="s">
        <v>84</v>
      </c>
      <c r="B28" s="91">
        <f>I28</f>
        <v>130.7</v>
      </c>
      <c r="C28" s="9" t="s">
        <v>14</v>
      </c>
      <c r="D28" s="11"/>
      <c r="E28" s="10"/>
      <c r="F28" s="59" t="s">
        <v>81</v>
      </c>
      <c r="G28" s="60"/>
      <c r="H28" s="48"/>
      <c r="I28" s="81">
        <f>I24-I27-I26</f>
        <v>130.7</v>
      </c>
      <c r="K28" s="9"/>
      <c r="L28" s="9"/>
      <c r="M28" s="9"/>
      <c r="N28" s="9"/>
      <c r="O28" s="9"/>
      <c r="P28" s="9"/>
      <c r="Q28" s="9"/>
      <c r="R28" s="9"/>
      <c r="S28" s="9"/>
    </row>
    <row r="29" spans="3:19" ht="19.5" customHeight="1">
      <c r="C29" s="30"/>
      <c r="E29" s="11"/>
      <c r="F29" s="10"/>
      <c r="K29" s="9"/>
      <c r="L29" s="9"/>
      <c r="M29" s="9"/>
      <c r="N29" s="9"/>
      <c r="O29" s="9"/>
      <c r="P29" s="9"/>
      <c r="Q29" s="9"/>
      <c r="R29" s="9"/>
      <c r="S29" s="9"/>
    </row>
    <row r="30" spans="1:19" ht="19.5" customHeight="1">
      <c r="A30" s="70" t="s">
        <v>8</v>
      </c>
      <c r="B30" s="8"/>
      <c r="C30" s="30"/>
      <c r="D30" s="9"/>
      <c r="E30" s="9"/>
      <c r="F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9.5" customHeight="1">
      <c r="A31" s="8" t="s">
        <v>85</v>
      </c>
      <c r="B31" s="85">
        <f>48</f>
        <v>48</v>
      </c>
      <c r="C31" s="30"/>
      <c r="D31" s="9"/>
      <c r="E31" s="11"/>
      <c r="F31" s="10"/>
      <c r="G31" s="101"/>
      <c r="H31" s="1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9.5" customHeight="1">
      <c r="A32" s="8" t="s">
        <v>86</v>
      </c>
      <c r="B32" s="89">
        <f>2*2.1*6.8</f>
        <v>28.56</v>
      </c>
      <c r="C32" s="30"/>
      <c r="D32" s="56" t="s">
        <v>87</v>
      </c>
      <c r="E32" s="11"/>
      <c r="F32" s="10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9.5" customHeight="1">
      <c r="A33" s="8"/>
      <c r="C33" s="30"/>
      <c r="D33" s="56"/>
      <c r="E33" s="11"/>
      <c r="F33" s="10"/>
      <c r="G33" s="9"/>
      <c r="H33" s="9"/>
      <c r="I33" s="8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9.5" customHeight="1">
      <c r="A34" s="70" t="s">
        <v>11</v>
      </c>
      <c r="B34" s="8"/>
      <c r="C34" s="9"/>
      <c r="D34" s="9"/>
      <c r="E34" s="11"/>
      <c r="F34" s="10"/>
      <c r="G34" s="3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9.5" customHeight="1">
      <c r="A35" s="8" t="s">
        <v>9</v>
      </c>
      <c r="B35" s="85">
        <v>12.8</v>
      </c>
      <c r="C35" s="30"/>
      <c r="D35" s="56" t="s">
        <v>88</v>
      </c>
      <c r="E35" s="11"/>
      <c r="F35" s="10"/>
      <c r="G35" s="30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9.5" customHeight="1">
      <c r="A36" s="8" t="s">
        <v>64</v>
      </c>
      <c r="B36" s="85">
        <f>1.4*3</f>
        <v>4.199999999999999</v>
      </c>
      <c r="C36" s="30"/>
      <c r="D36" s="56" t="s">
        <v>10</v>
      </c>
      <c r="E36" s="11"/>
      <c r="F36" s="10"/>
      <c r="G36" s="9"/>
      <c r="H36" s="9"/>
      <c r="I36" s="37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9.5" customHeight="1">
      <c r="A37" s="71" t="s">
        <v>65</v>
      </c>
      <c r="B37" s="85">
        <f>(3*10.8)-B35-B36</f>
        <v>15.400000000000006</v>
      </c>
      <c r="C37" s="9"/>
      <c r="D37" s="56" t="s">
        <v>113</v>
      </c>
      <c r="E37" s="9"/>
      <c r="F37" s="9"/>
      <c r="G37" s="13"/>
      <c r="H37" s="9"/>
      <c r="I37" s="37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7:19" ht="19.5" customHeight="1">
      <c r="G38" s="13"/>
      <c r="H38" s="9"/>
      <c r="I38" s="37"/>
      <c r="J38" s="9"/>
      <c r="K38" s="9"/>
      <c r="L38" s="9"/>
      <c r="M38" s="24"/>
      <c r="N38" s="10"/>
      <c r="O38" s="30"/>
      <c r="P38" s="27"/>
      <c r="Q38" s="11"/>
      <c r="R38" s="9"/>
      <c r="S38" s="9"/>
    </row>
    <row r="39" spans="1:19" ht="19.5" customHeight="1">
      <c r="A39" s="70" t="s">
        <v>15</v>
      </c>
      <c r="B39" s="8"/>
      <c r="C39" s="9"/>
      <c r="D39" s="9"/>
      <c r="E39" s="9"/>
      <c r="F39" s="9"/>
      <c r="G39" s="13"/>
      <c r="H39" s="9"/>
      <c r="I39" s="37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9.5" customHeight="1">
      <c r="A40" s="8" t="s">
        <v>9</v>
      </c>
      <c r="B40" s="89">
        <f>2*2.9*2.2</f>
        <v>12.76</v>
      </c>
      <c r="C40" s="30"/>
      <c r="D40" s="56" t="s">
        <v>88</v>
      </c>
      <c r="E40" s="11"/>
      <c r="F40" s="9"/>
      <c r="G40" s="102"/>
      <c r="H40" s="13"/>
      <c r="I40" s="31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9.5" customHeight="1">
      <c r="A41" s="8" t="s">
        <v>89</v>
      </c>
      <c r="B41" s="89">
        <v>70</v>
      </c>
      <c r="C41" s="30"/>
      <c r="D41" s="56" t="s">
        <v>91</v>
      </c>
      <c r="E41" s="11"/>
      <c r="F41" s="10"/>
      <c r="G41" s="9"/>
      <c r="H41" s="13"/>
      <c r="I41" s="31"/>
      <c r="J41" s="9"/>
      <c r="K41" s="9"/>
      <c r="L41" s="9"/>
      <c r="M41" s="9"/>
      <c r="N41" s="9"/>
      <c r="O41" s="9"/>
      <c r="P41" s="27"/>
      <c r="Q41" s="9"/>
      <c r="R41" s="9"/>
      <c r="S41" s="9"/>
    </row>
    <row r="42" spans="1:19" ht="19.5" customHeight="1">
      <c r="A42" s="8" t="s">
        <v>90</v>
      </c>
      <c r="B42" s="89">
        <v>100</v>
      </c>
      <c r="C42" s="30"/>
      <c r="D42" s="56" t="s">
        <v>113</v>
      </c>
      <c r="E42" s="11"/>
      <c r="F42" s="10"/>
      <c r="G42" s="13"/>
      <c r="H42" s="13"/>
      <c r="I42" s="9"/>
      <c r="J42" s="9"/>
      <c r="K42" s="9"/>
      <c r="L42" s="9"/>
      <c r="M42" s="9"/>
      <c r="N42" s="9"/>
      <c r="O42" s="9"/>
      <c r="P42" s="27"/>
      <c r="Q42" s="9"/>
      <c r="R42" s="9"/>
      <c r="S42" s="9"/>
    </row>
    <row r="43" spans="1:19" ht="19.5" customHeight="1">
      <c r="A43" s="92" t="s">
        <v>92</v>
      </c>
      <c r="B43" s="89">
        <f>2*4*4.8</f>
        <v>38.4</v>
      </c>
      <c r="G43" s="13"/>
      <c r="H43" s="13"/>
      <c r="I43" s="56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7:19" ht="19.5" customHeight="1">
      <c r="G44" s="13"/>
      <c r="H44" s="13"/>
      <c r="I44" s="37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9.5" customHeight="1">
      <c r="A45" s="6" t="s">
        <v>16</v>
      </c>
      <c r="B45" s="50">
        <f>SUM(B17:B43)</f>
        <v>778.92</v>
      </c>
      <c r="G45" s="13"/>
      <c r="H45" s="13"/>
      <c r="I45" s="37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3:19" ht="19.5" customHeight="1">
      <c r="C46" s="9"/>
      <c r="D46" s="9"/>
      <c r="E46" s="9"/>
      <c r="F46" s="9"/>
      <c r="G46" s="9"/>
      <c r="H46" s="13"/>
      <c r="I46" s="37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3:19" ht="19.5" customHeight="1">
      <c r="C47" s="30"/>
      <c r="D47" s="27"/>
      <c r="E47" s="11"/>
      <c r="F47" s="10"/>
      <c r="G47" s="13"/>
      <c r="H47" s="13"/>
      <c r="I47" s="37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9.5" customHeight="1">
      <c r="A48" s="16" t="s">
        <v>17</v>
      </c>
      <c r="B48" s="57" t="s">
        <v>18</v>
      </c>
      <c r="C48" s="31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9.5" customHeight="1">
      <c r="A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9.5" customHeight="1">
      <c r="A50" s="13" t="s">
        <v>4</v>
      </c>
      <c r="B50" s="82">
        <f>B17</f>
        <v>53.46000000000001</v>
      </c>
      <c r="C50" s="13" t="s">
        <v>93</v>
      </c>
      <c r="D50" s="13"/>
      <c r="E50" s="13"/>
      <c r="F50" s="13"/>
      <c r="G50" s="13"/>
      <c r="H50" s="13"/>
      <c r="P50" s="9"/>
      <c r="Q50" s="9"/>
      <c r="R50" s="9"/>
      <c r="S50" s="9"/>
    </row>
    <row r="51" spans="1:19" ht="19.5" customHeight="1">
      <c r="A51" s="13" t="s">
        <v>3</v>
      </c>
      <c r="B51" s="82">
        <f>B18</f>
        <v>32.67000000000001</v>
      </c>
      <c r="C51" s="58" t="s">
        <v>94</v>
      </c>
      <c r="D51" s="13"/>
      <c r="E51" s="13"/>
      <c r="F51" s="13"/>
      <c r="G51" s="13"/>
      <c r="H51" s="13"/>
      <c r="P51" s="9"/>
      <c r="Q51" s="9"/>
      <c r="R51" s="9"/>
      <c r="S51" s="9"/>
    </row>
    <row r="52" spans="1:19" ht="19.5" customHeight="1">
      <c r="A52" s="13" t="s">
        <v>60</v>
      </c>
      <c r="B52" s="82">
        <f>B19+B21</f>
        <v>56</v>
      </c>
      <c r="C52" s="13" t="s">
        <v>77</v>
      </c>
      <c r="D52" s="13"/>
      <c r="E52" s="13"/>
      <c r="F52" s="13"/>
      <c r="G52" s="13"/>
      <c r="H52" s="13"/>
      <c r="P52" s="9"/>
      <c r="Q52" s="9"/>
      <c r="R52" s="9"/>
      <c r="S52" s="9"/>
    </row>
    <row r="53" spans="1:19" ht="19.5" customHeight="1">
      <c r="A53" s="13" t="s">
        <v>9</v>
      </c>
      <c r="B53" s="94">
        <f>B40+B35</f>
        <v>25.560000000000002</v>
      </c>
      <c r="C53" s="13" t="s">
        <v>119</v>
      </c>
      <c r="D53" s="13"/>
      <c r="E53" s="13"/>
      <c r="F53" s="13"/>
      <c r="G53" s="13"/>
      <c r="H53" s="13"/>
      <c r="P53" s="9"/>
      <c r="Q53" s="9"/>
      <c r="R53" s="9"/>
      <c r="S53" s="9"/>
    </row>
    <row r="54" spans="1:19" ht="19.5" customHeight="1">
      <c r="A54" s="13" t="s">
        <v>86</v>
      </c>
      <c r="B54" s="95">
        <f>B32</f>
        <v>28.56</v>
      </c>
      <c r="C54" s="13"/>
      <c r="D54" s="13"/>
      <c r="E54" s="13"/>
      <c r="H54" s="13"/>
      <c r="P54" s="9"/>
      <c r="Q54" s="9"/>
      <c r="R54" s="9"/>
      <c r="S54" s="9"/>
    </row>
    <row r="55" spans="1:19" ht="19.5" customHeight="1">
      <c r="A55" s="13" t="s">
        <v>21</v>
      </c>
      <c r="B55" s="82">
        <f>B36</f>
        <v>4.199999999999999</v>
      </c>
      <c r="C55" s="13" t="s">
        <v>10</v>
      </c>
      <c r="D55" s="13"/>
      <c r="E55" s="13"/>
      <c r="F55" s="9"/>
      <c r="G55" s="9"/>
      <c r="H55" s="13"/>
      <c r="P55" s="9"/>
      <c r="Q55" s="9"/>
      <c r="R55" s="9"/>
      <c r="S55" s="9"/>
    </row>
    <row r="56" spans="1:19" ht="19.5" customHeight="1">
      <c r="A56" s="13" t="s">
        <v>96</v>
      </c>
      <c r="B56" s="82">
        <f>B43+B31</f>
        <v>86.4</v>
      </c>
      <c r="C56" s="13"/>
      <c r="D56" s="13"/>
      <c r="E56" s="13"/>
      <c r="F56" s="9"/>
      <c r="G56" s="9"/>
      <c r="H56" s="13"/>
      <c r="P56" s="9"/>
      <c r="Q56" s="9"/>
      <c r="R56" s="9"/>
      <c r="S56" s="9"/>
    </row>
    <row r="57" spans="1:19" ht="19.5" customHeight="1">
      <c r="A57" s="13" t="s">
        <v>20</v>
      </c>
      <c r="B57" s="82">
        <f>B27</f>
        <v>33</v>
      </c>
      <c r="C57" s="13" t="s">
        <v>45</v>
      </c>
      <c r="D57" s="9"/>
      <c r="E57" s="9"/>
      <c r="F57" s="9"/>
      <c r="G57" s="9"/>
      <c r="H57" s="13"/>
      <c r="P57" s="9"/>
      <c r="Q57" s="9"/>
      <c r="R57" s="9"/>
      <c r="S57" s="9"/>
    </row>
    <row r="58" spans="6:19" ht="19.5" customHeight="1">
      <c r="F58" s="9"/>
      <c r="G58" s="9"/>
      <c r="H58" s="13"/>
      <c r="R58" s="9"/>
      <c r="S58" s="9"/>
    </row>
    <row r="59" spans="1:19" ht="19.5" customHeight="1">
      <c r="A59" s="13" t="s">
        <v>19</v>
      </c>
      <c r="B59" s="82">
        <f>B20</f>
        <v>86.66999999999997</v>
      </c>
      <c r="C59" s="103" t="s">
        <v>42</v>
      </c>
      <c r="D59" s="103"/>
      <c r="E59" s="13"/>
      <c r="F59" s="9"/>
      <c r="G59" s="9"/>
      <c r="H59" s="13"/>
      <c r="R59" s="9"/>
      <c r="S59" s="9"/>
    </row>
    <row r="60" spans="1:22" ht="19.5" customHeight="1">
      <c r="A60" s="13" t="s">
        <v>97</v>
      </c>
      <c r="B60" s="82">
        <f>B24+B25+B26</f>
        <v>56.3</v>
      </c>
      <c r="C60" s="103" t="s">
        <v>111</v>
      </c>
      <c r="D60" s="103"/>
      <c r="E60" s="9"/>
      <c r="F60" s="9"/>
      <c r="G60" s="9"/>
      <c r="H60" s="13"/>
      <c r="R60" s="9"/>
      <c r="S60" s="24"/>
      <c r="T60" s="77"/>
      <c r="U60" s="77"/>
      <c r="V60" s="77"/>
    </row>
    <row r="61" spans="1:22" ht="19.5" customHeight="1">
      <c r="A61" s="24" t="s">
        <v>44</v>
      </c>
      <c r="B61" s="82">
        <f>B41</f>
        <v>70</v>
      </c>
      <c r="C61" s="103" t="s">
        <v>115</v>
      </c>
      <c r="D61" s="9"/>
      <c r="E61" s="104"/>
      <c r="F61" s="104"/>
      <c r="R61" s="9"/>
      <c r="S61" s="24"/>
      <c r="T61" s="77"/>
      <c r="U61" s="77"/>
      <c r="V61" s="77"/>
    </row>
    <row r="62" spans="1:22" ht="19.5" customHeight="1">
      <c r="A62" s="13" t="s">
        <v>66</v>
      </c>
      <c r="B62" s="82">
        <f>B28</f>
        <v>130.7</v>
      </c>
      <c r="C62" s="103" t="s">
        <v>116</v>
      </c>
      <c r="D62" s="104"/>
      <c r="E62" s="104"/>
      <c r="F62" s="104"/>
      <c r="Q62" s="9"/>
      <c r="R62" s="9"/>
      <c r="S62" s="24"/>
      <c r="T62" s="77"/>
      <c r="U62" s="77"/>
      <c r="V62" s="77"/>
    </row>
    <row r="63" spans="1:22" ht="19.5" customHeight="1">
      <c r="A63" s="49" t="s">
        <v>112</v>
      </c>
      <c r="B63" s="82">
        <f>B37+B42</f>
        <v>115.4</v>
      </c>
      <c r="C63" s="103" t="s">
        <v>117</v>
      </c>
      <c r="D63" s="104"/>
      <c r="E63" s="104"/>
      <c r="F63" s="104"/>
      <c r="Q63" s="9"/>
      <c r="R63" s="9"/>
      <c r="S63" s="24"/>
      <c r="T63" s="77"/>
      <c r="U63" s="77"/>
      <c r="V63" s="77"/>
    </row>
    <row r="64" spans="1:22" ht="19.5" customHeight="1">
      <c r="A64" s="49"/>
      <c r="B64" s="82"/>
      <c r="C64" s="103" t="s">
        <v>118</v>
      </c>
      <c r="D64" s="13"/>
      <c r="E64" s="104"/>
      <c r="F64" s="104"/>
      <c r="Q64" s="9"/>
      <c r="R64" s="9"/>
      <c r="S64" s="8"/>
      <c r="T64" s="77"/>
      <c r="U64" s="77"/>
      <c r="V64" s="77"/>
    </row>
    <row r="65" spans="1:22" ht="19.5" customHeight="1">
      <c r="A65" s="7" t="s">
        <v>16</v>
      </c>
      <c r="B65" s="50">
        <f>SUM(B50:B65)</f>
        <v>778.92</v>
      </c>
      <c r="D65" s="24"/>
      <c r="E65" s="24"/>
      <c r="F65" s="24"/>
      <c r="G65" s="24"/>
      <c r="H65" s="13"/>
      <c r="L65" s="9"/>
      <c r="M65" s="9"/>
      <c r="N65" s="9"/>
      <c r="O65" s="9"/>
      <c r="P65" s="9"/>
      <c r="Q65" s="9"/>
      <c r="R65" s="9"/>
      <c r="S65" s="24"/>
      <c r="T65" s="77"/>
      <c r="U65" s="77"/>
      <c r="V65" s="77"/>
    </row>
    <row r="66" spans="4:22" ht="19.5" customHeight="1">
      <c r="D66" s="24"/>
      <c r="E66" s="24"/>
      <c r="F66" s="24"/>
      <c r="G66" s="24"/>
      <c r="H66" s="13"/>
      <c r="L66" s="9"/>
      <c r="M66" s="9"/>
      <c r="N66" s="9"/>
      <c r="O66" s="9"/>
      <c r="P66" s="9"/>
      <c r="Q66" s="9"/>
      <c r="R66" s="9"/>
      <c r="S66" s="24"/>
      <c r="T66" s="77"/>
      <c r="U66" s="77"/>
      <c r="V66" s="77"/>
    </row>
    <row r="67" spans="1:19" ht="19.5" customHeight="1">
      <c r="A67" s="7" t="s">
        <v>23</v>
      </c>
      <c r="B67" s="14"/>
      <c r="C67" s="33"/>
      <c r="D67" s="6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9.5" customHeight="1">
      <c r="A68" s="6"/>
      <c r="B68" s="14"/>
      <c r="C68" s="33"/>
      <c r="D68" s="6"/>
      <c r="E68" s="9"/>
      <c r="F68" s="9"/>
      <c r="G68" s="9"/>
      <c r="H68" s="9"/>
      <c r="I68" s="39" t="s">
        <v>53</v>
      </c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9.5" customHeight="1">
      <c r="A69" s="7" t="s">
        <v>24</v>
      </c>
      <c r="B69" s="12" t="s">
        <v>25</v>
      </c>
      <c r="C69" s="15">
        <v>125</v>
      </c>
      <c r="D69" s="15">
        <v>250</v>
      </c>
      <c r="E69" s="15">
        <v>500</v>
      </c>
      <c r="F69" s="15">
        <v>1000</v>
      </c>
      <c r="G69" s="15">
        <v>2000</v>
      </c>
      <c r="H69" s="15">
        <v>4000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9.5" customHeight="1">
      <c r="A70" s="16" t="s">
        <v>26</v>
      </c>
      <c r="B70" s="14" t="s">
        <v>27</v>
      </c>
      <c r="C70" s="17">
        <v>0.39</v>
      </c>
      <c r="D70" s="17">
        <v>0.57</v>
      </c>
      <c r="E70" s="17">
        <v>0.8</v>
      </c>
      <c r="F70" s="17">
        <v>0.94</v>
      </c>
      <c r="G70" s="17">
        <v>0.92</v>
      </c>
      <c r="H70" s="17">
        <v>0.87</v>
      </c>
      <c r="I70" s="32" t="s">
        <v>46</v>
      </c>
      <c r="J70" s="9"/>
      <c r="K70" s="13"/>
      <c r="L70" s="13"/>
      <c r="M70" s="9"/>
      <c r="N70" s="9"/>
      <c r="O70" s="9"/>
      <c r="P70" s="9"/>
      <c r="Q70" s="9"/>
      <c r="R70" s="9"/>
      <c r="S70" s="9"/>
    </row>
    <row r="71" spans="1:19" ht="19.5" customHeight="1">
      <c r="A71" s="96">
        <f>B50</f>
        <v>53.46000000000001</v>
      </c>
      <c r="B71" s="14"/>
      <c r="C71" s="99">
        <f aca="true" t="shared" si="0" ref="C71:H71">$A71*C72</f>
        <v>26.195400000000003</v>
      </c>
      <c r="D71" s="99">
        <f t="shared" si="0"/>
        <v>35.28360000000001</v>
      </c>
      <c r="E71" s="99">
        <f t="shared" si="0"/>
        <v>42.76800000000001</v>
      </c>
      <c r="F71" s="99">
        <f t="shared" si="0"/>
        <v>47.04480000000001</v>
      </c>
      <c r="G71" s="99">
        <f t="shared" si="0"/>
        <v>43.8372</v>
      </c>
      <c r="H71" s="99">
        <f t="shared" si="0"/>
        <v>37.422000000000004</v>
      </c>
      <c r="I71" s="32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19.5" customHeight="1">
      <c r="A72" s="16" t="s">
        <v>28</v>
      </c>
      <c r="B72" s="14" t="s">
        <v>27</v>
      </c>
      <c r="C72" s="17">
        <v>0.49</v>
      </c>
      <c r="D72" s="17">
        <v>0.66</v>
      </c>
      <c r="E72" s="17">
        <v>0.8</v>
      </c>
      <c r="F72" s="17">
        <v>0.88</v>
      </c>
      <c r="G72" s="17">
        <v>0.82</v>
      </c>
      <c r="H72" s="17">
        <v>0.7</v>
      </c>
      <c r="I72" s="32" t="s">
        <v>47</v>
      </c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19.5" customHeight="1">
      <c r="A73" s="96">
        <f>B51</f>
        <v>32.67000000000001</v>
      </c>
      <c r="B73" s="14" t="s">
        <v>29</v>
      </c>
      <c r="C73" s="99">
        <f aca="true" t="shared" si="1" ref="C73:H73">$A73*C70</f>
        <v>12.741300000000004</v>
      </c>
      <c r="D73" s="99">
        <f t="shared" si="1"/>
        <v>18.621900000000004</v>
      </c>
      <c r="E73" s="99">
        <f t="shared" si="1"/>
        <v>26.13600000000001</v>
      </c>
      <c r="F73" s="99">
        <f t="shared" si="1"/>
        <v>30.709800000000005</v>
      </c>
      <c r="G73" s="99">
        <f t="shared" si="1"/>
        <v>30.05640000000001</v>
      </c>
      <c r="H73" s="99">
        <f t="shared" si="1"/>
        <v>28.42290000000001</v>
      </c>
      <c r="I73" s="32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9.5" customHeight="1">
      <c r="A74" s="16" t="s">
        <v>98</v>
      </c>
      <c r="B74" s="19" t="s">
        <v>30</v>
      </c>
      <c r="C74" s="17">
        <v>0.4</v>
      </c>
      <c r="D74" s="17">
        <v>0.3</v>
      </c>
      <c r="E74" s="17">
        <v>0.2</v>
      </c>
      <c r="F74" s="17">
        <v>0.17</v>
      </c>
      <c r="G74" s="17">
        <v>0.15</v>
      </c>
      <c r="H74" s="17">
        <v>0.1</v>
      </c>
      <c r="I74" s="32" t="s">
        <v>48</v>
      </c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9.5" customHeight="1">
      <c r="A75" s="96">
        <f>B52</f>
        <v>56</v>
      </c>
      <c r="B75" s="14" t="s">
        <v>6</v>
      </c>
      <c r="C75" s="99">
        <f aca="true" t="shared" si="2" ref="C75:H75">$A75*C74</f>
        <v>22.400000000000002</v>
      </c>
      <c r="D75" s="99">
        <f t="shared" si="2"/>
        <v>16.8</v>
      </c>
      <c r="E75" s="99">
        <f t="shared" si="2"/>
        <v>11.200000000000001</v>
      </c>
      <c r="F75" s="99">
        <f t="shared" si="2"/>
        <v>9.520000000000001</v>
      </c>
      <c r="G75" s="99">
        <f t="shared" si="2"/>
        <v>8.4</v>
      </c>
      <c r="H75" s="99">
        <f t="shared" si="2"/>
        <v>5.6000000000000005</v>
      </c>
      <c r="I75" s="32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19.5" customHeight="1">
      <c r="A76" s="16" t="s">
        <v>99</v>
      </c>
      <c r="B76" s="19" t="s">
        <v>30</v>
      </c>
      <c r="C76" s="17">
        <v>0.15</v>
      </c>
      <c r="D76" s="17">
        <v>0.11</v>
      </c>
      <c r="E76" s="17">
        <v>0.1</v>
      </c>
      <c r="F76" s="17">
        <v>0.07</v>
      </c>
      <c r="G76" s="17">
        <v>0.06</v>
      </c>
      <c r="H76" s="17">
        <v>0.07</v>
      </c>
      <c r="I76" s="32" t="s">
        <v>49</v>
      </c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19.5" customHeight="1">
      <c r="A77" s="96">
        <f>B53+B54</f>
        <v>54.120000000000005</v>
      </c>
      <c r="B77" s="14"/>
      <c r="C77" s="99">
        <f aca="true" t="shared" si="3" ref="C77:H77">$A77*C76</f>
        <v>8.118</v>
      </c>
      <c r="D77" s="99">
        <f t="shared" si="3"/>
        <v>5.953200000000001</v>
      </c>
      <c r="E77" s="99">
        <f t="shared" si="3"/>
        <v>5.412000000000001</v>
      </c>
      <c r="F77" s="99">
        <f t="shared" si="3"/>
        <v>3.7884000000000007</v>
      </c>
      <c r="G77" s="99">
        <f t="shared" si="3"/>
        <v>3.2472000000000003</v>
      </c>
      <c r="H77" s="99">
        <f t="shared" si="3"/>
        <v>3.7884000000000007</v>
      </c>
      <c r="I77" s="32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19.5" customHeight="1">
      <c r="A78" s="16" t="s">
        <v>67</v>
      </c>
      <c r="B78" s="19" t="s">
        <v>30</v>
      </c>
      <c r="C78" s="17">
        <v>0.18</v>
      </c>
      <c r="D78" s="17">
        <v>0.06</v>
      </c>
      <c r="E78" s="17">
        <v>0.04</v>
      </c>
      <c r="F78" s="17">
        <v>0.03</v>
      </c>
      <c r="G78" s="17">
        <v>0.02</v>
      </c>
      <c r="H78" s="17">
        <v>0.02</v>
      </c>
      <c r="I78" s="32" t="s">
        <v>50</v>
      </c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19.5" customHeight="1">
      <c r="A79" s="97">
        <f>B55</f>
        <v>4.199999999999999</v>
      </c>
      <c r="B79" s="14" t="s">
        <v>22</v>
      </c>
      <c r="C79" s="99">
        <f aca="true" t="shared" si="4" ref="C79:H79">$A79*C78</f>
        <v>0.7559999999999999</v>
      </c>
      <c r="D79" s="99">
        <f t="shared" si="4"/>
        <v>0.25199999999999995</v>
      </c>
      <c r="E79" s="99">
        <f t="shared" si="4"/>
        <v>0.16799999999999998</v>
      </c>
      <c r="F79" s="99">
        <f t="shared" si="4"/>
        <v>0.12599999999999997</v>
      </c>
      <c r="G79" s="99">
        <f t="shared" si="4"/>
        <v>0.08399999999999999</v>
      </c>
      <c r="H79" s="99">
        <f t="shared" si="4"/>
        <v>0.08399999999999999</v>
      </c>
      <c r="I79" s="32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18" customHeight="1">
      <c r="A80" s="16" t="s">
        <v>31</v>
      </c>
      <c r="B80" s="14" t="s">
        <v>27</v>
      </c>
      <c r="C80" s="17">
        <v>0.1</v>
      </c>
      <c r="D80" s="17">
        <v>0.1</v>
      </c>
      <c r="E80" s="17">
        <v>0.1</v>
      </c>
      <c r="F80" s="17">
        <v>0.1</v>
      </c>
      <c r="G80" s="17">
        <v>0.1</v>
      </c>
      <c r="H80" s="17">
        <v>0.1</v>
      </c>
      <c r="I80" s="32" t="s">
        <v>105</v>
      </c>
      <c r="J80" s="9"/>
      <c r="K80" s="32"/>
      <c r="L80" s="9"/>
      <c r="M80" s="9"/>
      <c r="N80" s="9"/>
      <c r="O80" s="9"/>
      <c r="P80" s="9"/>
      <c r="Q80" s="9"/>
      <c r="R80" s="9"/>
      <c r="S80" s="9"/>
    </row>
    <row r="81" spans="1:19" ht="18" customHeight="1">
      <c r="A81" s="96">
        <f>B57</f>
        <v>33</v>
      </c>
      <c r="B81" s="14" t="s">
        <v>13</v>
      </c>
      <c r="C81" s="99">
        <f aca="true" t="shared" si="5" ref="C81:H81">$A81*C80</f>
        <v>3.3000000000000003</v>
      </c>
      <c r="D81" s="99">
        <f t="shared" si="5"/>
        <v>3.3000000000000003</v>
      </c>
      <c r="E81" s="99">
        <f t="shared" si="5"/>
        <v>3.3000000000000003</v>
      </c>
      <c r="F81" s="99">
        <f t="shared" si="5"/>
        <v>3.3000000000000003</v>
      </c>
      <c r="G81" s="99">
        <f t="shared" si="5"/>
        <v>3.3000000000000003</v>
      </c>
      <c r="H81" s="99">
        <f t="shared" si="5"/>
        <v>3.3000000000000003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8" customHeight="1">
      <c r="A82" s="18" t="s">
        <v>100</v>
      </c>
      <c r="B82" s="14" t="s">
        <v>27</v>
      </c>
      <c r="C82" s="17">
        <v>0.3</v>
      </c>
      <c r="D82" s="17">
        <v>0.3</v>
      </c>
      <c r="E82" s="17">
        <v>0.3</v>
      </c>
      <c r="F82" s="17">
        <v>0.3</v>
      </c>
      <c r="G82" s="17">
        <v>0.3</v>
      </c>
      <c r="H82" s="17">
        <v>0.3</v>
      </c>
      <c r="I82" s="32" t="s">
        <v>106</v>
      </c>
      <c r="J82" s="9"/>
      <c r="K82" s="32"/>
      <c r="L82" s="9"/>
      <c r="M82" s="9"/>
      <c r="N82" s="9"/>
      <c r="O82" s="9"/>
      <c r="P82" s="9"/>
      <c r="Q82" s="9"/>
      <c r="R82" s="9"/>
      <c r="S82" s="9"/>
    </row>
    <row r="83" spans="1:19" ht="18" customHeight="1">
      <c r="A83" s="98">
        <f>B56</f>
        <v>86.4</v>
      </c>
      <c r="B83" s="14"/>
      <c r="C83" s="99">
        <f aca="true" t="shared" si="6" ref="C83:H83">$A83*C82</f>
        <v>25.92</v>
      </c>
      <c r="D83" s="99">
        <f t="shared" si="6"/>
        <v>25.92</v>
      </c>
      <c r="E83" s="99">
        <f t="shared" si="6"/>
        <v>25.92</v>
      </c>
      <c r="F83" s="99">
        <f t="shared" si="6"/>
        <v>25.92</v>
      </c>
      <c r="G83" s="99">
        <f t="shared" si="6"/>
        <v>25.92</v>
      </c>
      <c r="H83" s="99">
        <f t="shared" si="6"/>
        <v>25.92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18" customHeight="1">
      <c r="A84" s="18" t="s">
        <v>101</v>
      </c>
      <c r="B84" s="19" t="s">
        <v>30</v>
      </c>
      <c r="C84" s="17">
        <v>0.04</v>
      </c>
      <c r="D84" s="17">
        <v>0.04</v>
      </c>
      <c r="E84" s="17">
        <v>0.07</v>
      </c>
      <c r="F84" s="17">
        <v>0.06</v>
      </c>
      <c r="G84" s="17">
        <v>0.06</v>
      </c>
      <c r="H84" s="17">
        <v>0.07</v>
      </c>
      <c r="I84" s="32" t="s">
        <v>107</v>
      </c>
      <c r="J84" s="32"/>
      <c r="K84" s="9"/>
      <c r="L84" s="9"/>
      <c r="M84" s="9"/>
      <c r="N84" s="9"/>
      <c r="O84" s="9"/>
      <c r="P84" s="9"/>
      <c r="Q84" s="9"/>
      <c r="R84" s="9"/>
      <c r="S84" s="9"/>
    </row>
    <row r="85" spans="1:19" ht="18" customHeight="1">
      <c r="A85" s="98">
        <f>B59</f>
        <v>86.66999999999997</v>
      </c>
      <c r="B85" s="14"/>
      <c r="C85" s="99">
        <f aca="true" t="shared" si="7" ref="C85:H85">$A85*C84</f>
        <v>3.466799999999999</v>
      </c>
      <c r="D85" s="99">
        <f t="shared" si="7"/>
        <v>3.466799999999999</v>
      </c>
      <c r="E85" s="99">
        <f t="shared" si="7"/>
        <v>6.066899999999999</v>
      </c>
      <c r="F85" s="99">
        <f t="shared" si="7"/>
        <v>5.200199999999998</v>
      </c>
      <c r="G85" s="99">
        <f t="shared" si="7"/>
        <v>5.200199999999998</v>
      </c>
      <c r="H85" s="99">
        <f t="shared" si="7"/>
        <v>6.066899999999999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18" customHeight="1">
      <c r="A86" s="18" t="s">
        <v>102</v>
      </c>
      <c r="B86" s="19" t="s">
        <v>30</v>
      </c>
      <c r="C86" s="28">
        <v>0.28</v>
      </c>
      <c r="D86" s="28">
        <v>0.22</v>
      </c>
      <c r="E86" s="28">
        <v>0.17</v>
      </c>
      <c r="F86" s="28">
        <v>0.09</v>
      </c>
      <c r="G86" s="28">
        <v>0.1</v>
      </c>
      <c r="H86" s="28">
        <v>0.11</v>
      </c>
      <c r="I86" s="32" t="s">
        <v>108</v>
      </c>
      <c r="J86" s="32"/>
      <c r="K86" s="9"/>
      <c r="L86" s="9"/>
      <c r="M86" s="9"/>
      <c r="N86" s="9"/>
      <c r="O86" s="9"/>
      <c r="P86" s="9"/>
      <c r="Q86" s="9"/>
      <c r="R86" s="9"/>
      <c r="S86" s="9"/>
    </row>
    <row r="87" spans="1:19" ht="18" customHeight="1">
      <c r="A87" s="96">
        <f>B61</f>
        <v>70</v>
      </c>
      <c r="B87" s="14" t="s">
        <v>72</v>
      </c>
      <c r="C87" s="99">
        <f aca="true" t="shared" si="8" ref="C87:H87">$A87*C86</f>
        <v>19.6</v>
      </c>
      <c r="D87" s="99">
        <f t="shared" si="8"/>
        <v>15.4</v>
      </c>
      <c r="E87" s="99">
        <f t="shared" si="8"/>
        <v>11.9</v>
      </c>
      <c r="F87" s="99">
        <f t="shared" si="8"/>
        <v>6.3</v>
      </c>
      <c r="G87" s="99">
        <f t="shared" si="8"/>
        <v>7</v>
      </c>
      <c r="H87" s="99">
        <f t="shared" si="8"/>
        <v>7.7</v>
      </c>
      <c r="I87" s="32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18" customHeight="1">
      <c r="A88" s="35" t="s">
        <v>103</v>
      </c>
      <c r="B88" s="19" t="s">
        <v>30</v>
      </c>
      <c r="C88" s="17">
        <v>0.29</v>
      </c>
      <c r="D88" s="17">
        <v>0.1</v>
      </c>
      <c r="E88" s="17">
        <v>0.05</v>
      </c>
      <c r="F88" s="17">
        <v>0.04</v>
      </c>
      <c r="G88" s="17">
        <v>0.07</v>
      </c>
      <c r="H88" s="17">
        <v>0.09</v>
      </c>
      <c r="I88" s="32" t="s">
        <v>109</v>
      </c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18" customHeight="1">
      <c r="A89" s="96">
        <f>B60</f>
        <v>56.3</v>
      </c>
      <c r="B89" s="14" t="s">
        <v>74</v>
      </c>
      <c r="C89" s="99">
        <f aca="true" t="shared" si="9" ref="C89:H89">$A89*C88</f>
        <v>16.326999999999998</v>
      </c>
      <c r="D89" s="99">
        <f t="shared" si="9"/>
        <v>5.63</v>
      </c>
      <c r="E89" s="99">
        <f t="shared" si="9"/>
        <v>2.815</v>
      </c>
      <c r="F89" s="99">
        <f t="shared" si="9"/>
        <v>2.252</v>
      </c>
      <c r="G89" s="99">
        <f t="shared" si="9"/>
        <v>3.9410000000000003</v>
      </c>
      <c r="H89" s="99">
        <f t="shared" si="9"/>
        <v>5.066999999999999</v>
      </c>
      <c r="I89" s="32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18" customHeight="1">
      <c r="A90" s="16" t="s">
        <v>114</v>
      </c>
      <c r="B90" s="14" t="s">
        <v>27</v>
      </c>
      <c r="C90" s="17">
        <v>0.25</v>
      </c>
      <c r="D90" s="17">
        <v>0.4</v>
      </c>
      <c r="E90" s="17">
        <v>0.5</v>
      </c>
      <c r="F90" s="17">
        <v>0.55</v>
      </c>
      <c r="G90" s="17">
        <v>0.65</v>
      </c>
      <c r="H90" s="17">
        <v>0.7</v>
      </c>
      <c r="I90" s="32" t="s">
        <v>110</v>
      </c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18" customHeight="1">
      <c r="A91" s="96">
        <f>B63+B64</f>
        <v>115.4</v>
      </c>
      <c r="B91" s="14" t="s">
        <v>71</v>
      </c>
      <c r="C91" s="99">
        <f aca="true" t="shared" si="10" ref="C91:H91">$A91*C90</f>
        <v>28.85</v>
      </c>
      <c r="D91" s="99">
        <f t="shared" si="10"/>
        <v>46.160000000000004</v>
      </c>
      <c r="E91" s="99">
        <f t="shared" si="10"/>
        <v>57.7</v>
      </c>
      <c r="F91" s="99">
        <f t="shared" si="10"/>
        <v>63.470000000000006</v>
      </c>
      <c r="G91" s="99">
        <f t="shared" si="10"/>
        <v>75.01</v>
      </c>
      <c r="H91" s="99">
        <f t="shared" si="10"/>
        <v>80.78</v>
      </c>
      <c r="I91" s="32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18" customHeight="1">
      <c r="A92" s="16" t="s">
        <v>104</v>
      </c>
      <c r="B92" s="19" t="s">
        <v>30</v>
      </c>
      <c r="C92" s="17">
        <v>0.25</v>
      </c>
      <c r="D92" s="17">
        <v>0.4</v>
      </c>
      <c r="E92" s="17">
        <v>0.45</v>
      </c>
      <c r="F92" s="17">
        <v>0.5</v>
      </c>
      <c r="G92" s="17">
        <v>0.5</v>
      </c>
      <c r="H92" s="17">
        <v>0.4</v>
      </c>
      <c r="I92" s="32" t="s">
        <v>110</v>
      </c>
      <c r="J92" s="9"/>
      <c r="K92" s="9"/>
      <c r="L92" s="32"/>
      <c r="M92" s="9"/>
      <c r="N92" s="9"/>
      <c r="O92" s="9"/>
      <c r="P92" s="9"/>
      <c r="Q92" s="9"/>
      <c r="R92" s="9"/>
      <c r="S92" s="9"/>
    </row>
    <row r="93" spans="1:19" ht="18" customHeight="1">
      <c r="A93" s="96">
        <f>B62</f>
        <v>130.7</v>
      </c>
      <c r="B93" s="14" t="s">
        <v>73</v>
      </c>
      <c r="C93" s="99">
        <f aca="true" t="shared" si="11" ref="C93:H93">$A93*C92</f>
        <v>32.675</v>
      </c>
      <c r="D93" s="99">
        <f t="shared" si="11"/>
        <v>52.28</v>
      </c>
      <c r="E93" s="99">
        <f t="shared" si="11"/>
        <v>58.815</v>
      </c>
      <c r="F93" s="99">
        <f t="shared" si="11"/>
        <v>65.35</v>
      </c>
      <c r="G93" s="99">
        <f t="shared" si="11"/>
        <v>65.35</v>
      </c>
      <c r="H93" s="99">
        <f t="shared" si="11"/>
        <v>52.28</v>
      </c>
      <c r="I93" s="32"/>
      <c r="J93" s="9"/>
      <c r="K93" s="9"/>
      <c r="L93" s="32"/>
      <c r="M93" s="9"/>
      <c r="N93" s="9"/>
      <c r="O93" s="9"/>
      <c r="P93" s="9"/>
      <c r="Q93" s="9"/>
      <c r="R93" s="9"/>
      <c r="S93" s="9"/>
    </row>
    <row r="94" spans="1:19" ht="18" customHeight="1">
      <c r="A94" s="16" t="s">
        <v>32</v>
      </c>
      <c r="B94" s="19" t="s">
        <v>30</v>
      </c>
      <c r="C94" s="17">
        <v>0</v>
      </c>
      <c r="D94" s="17">
        <v>0</v>
      </c>
      <c r="E94" s="17">
        <v>0</v>
      </c>
      <c r="F94" s="17">
        <v>0.3</v>
      </c>
      <c r="G94" s="17">
        <v>0.9</v>
      </c>
      <c r="H94" s="17">
        <v>2.4</v>
      </c>
      <c r="I94" s="38" t="s">
        <v>52</v>
      </c>
      <c r="J94" s="32"/>
      <c r="K94" s="32"/>
      <c r="L94" s="32"/>
      <c r="M94" s="9"/>
      <c r="N94" s="9"/>
      <c r="O94" s="9"/>
      <c r="P94" s="9"/>
      <c r="Q94" s="9"/>
      <c r="R94" s="9"/>
      <c r="S94" s="9"/>
    </row>
    <row r="95" spans="1:19" ht="18" customHeight="1">
      <c r="A95" s="88">
        <f>B3/100</f>
        <v>11.88</v>
      </c>
      <c r="B95" s="26" t="s">
        <v>33</v>
      </c>
      <c r="C95" s="99">
        <f aca="true" t="shared" si="12" ref="C95:H95">$A95*C94</f>
        <v>0</v>
      </c>
      <c r="D95" s="99">
        <f t="shared" si="12"/>
        <v>0</v>
      </c>
      <c r="E95" s="99">
        <f t="shared" si="12"/>
        <v>0</v>
      </c>
      <c r="F95" s="99">
        <f t="shared" si="12"/>
        <v>3.564</v>
      </c>
      <c r="G95" s="99">
        <f t="shared" si="12"/>
        <v>10.692</v>
      </c>
      <c r="H95" s="99">
        <f t="shared" si="12"/>
        <v>28.512</v>
      </c>
      <c r="J95" s="32"/>
      <c r="K95" s="32"/>
      <c r="L95" s="32"/>
      <c r="M95" s="9"/>
      <c r="N95" s="9"/>
      <c r="O95" s="9"/>
      <c r="P95" s="9"/>
      <c r="Q95" s="9"/>
      <c r="R95" s="9"/>
      <c r="S95" s="9"/>
    </row>
    <row r="96" spans="1:19" ht="18" customHeight="1">
      <c r="A96" s="25" t="s">
        <v>34</v>
      </c>
      <c r="B96" s="9"/>
      <c r="C96" s="100">
        <f>C71+C73+C75+C77+C79+C81+C83+C85+C87+C89+C91+C93+C95</f>
        <v>200.34949999999998</v>
      </c>
      <c r="D96" s="100">
        <f>D71+D73+D75+D77+D79+D81+D83+D85+D87+D89+D91+D93+D95</f>
        <v>229.0675</v>
      </c>
      <c r="E96" s="100">
        <f>E71+E73+E75+E77+E79+E81+E83+E85+E87+E89+E91+E93+E95</f>
        <v>252.20090000000005</v>
      </c>
      <c r="F96" s="100">
        <f>F71+F73+F75+F77+F79+F81+F83+F85+F87+F89+F91+F93+F95</f>
        <v>266.5452</v>
      </c>
      <c r="G96" s="100">
        <f>G71+G73+G75+G77+G79+G81+G83+G85+G87+G89+G91+G93+G95</f>
        <v>282.038</v>
      </c>
      <c r="H96" s="100">
        <f>H71+H73+H75+H77+H79+H81+H83+H85+H87+H89+H91+H93+H95</f>
        <v>284.9432</v>
      </c>
      <c r="I96" s="32" t="s">
        <v>51</v>
      </c>
      <c r="J96" s="32"/>
      <c r="K96" s="32"/>
      <c r="L96" s="32"/>
      <c r="M96" s="9"/>
      <c r="N96" s="9"/>
      <c r="O96" s="9"/>
      <c r="P96" s="9"/>
      <c r="Q96" s="9"/>
      <c r="R96" s="9"/>
      <c r="S96" s="9"/>
    </row>
    <row r="97" spans="1:19" ht="19.5" customHeight="1">
      <c r="A97" s="62" t="s">
        <v>35</v>
      </c>
      <c r="B97" s="83">
        <f>A91+A93+A87+A77+A75+A85+A73+A71+A89+A79+A81+A83</f>
        <v>778.92</v>
      </c>
      <c r="C97" s="20"/>
      <c r="D97" s="20"/>
      <c r="E97" s="20"/>
      <c r="F97" s="20"/>
      <c r="G97" s="20"/>
      <c r="H97" s="20"/>
      <c r="I97" s="14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19.5" customHeight="1">
      <c r="A98" s="36" t="s">
        <v>36</v>
      </c>
      <c r="B98" s="42">
        <f>B3</f>
        <v>1188</v>
      </c>
      <c r="C98" s="21"/>
      <c r="D98" s="34"/>
      <c r="E98" s="22"/>
      <c r="F98" s="22"/>
      <c r="G98" s="22"/>
      <c r="H98" s="22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9" ht="19.5" customHeight="1">
      <c r="A99" s="23" t="s">
        <v>37</v>
      </c>
      <c r="B99" s="24"/>
      <c r="C99" s="66">
        <f aca="true" t="shared" si="13" ref="C99:H99">$B98*0.163/C96</f>
        <v>0.9665309871000428</v>
      </c>
      <c r="D99" s="66">
        <f t="shared" si="13"/>
        <v>0.8453578093793315</v>
      </c>
      <c r="E99" s="66">
        <f t="shared" si="13"/>
        <v>0.7678164510911736</v>
      </c>
      <c r="F99" s="66">
        <f t="shared" si="13"/>
        <v>0.7264959188910548</v>
      </c>
      <c r="G99" s="66">
        <f t="shared" si="13"/>
        <v>0.6865883320687283</v>
      </c>
      <c r="H99" s="66">
        <f t="shared" si="13"/>
        <v>0.6795880722894949</v>
      </c>
      <c r="I99" s="9"/>
    </row>
    <row r="100" spans="1:9" ht="19.5" customHeight="1">
      <c r="A100" s="9"/>
      <c r="B100" s="28" t="s">
        <v>38</v>
      </c>
      <c r="C100" s="40">
        <f>B9*1.05*1.24</f>
        <v>1.031777664853073</v>
      </c>
      <c r="D100" s="41">
        <f>B9*1.05*1.07</f>
        <v>0.8903242753167646</v>
      </c>
      <c r="E100" s="41">
        <f>B9*1.05</f>
        <v>0.8320787619782847</v>
      </c>
      <c r="F100" s="41">
        <f>E100*0.97</f>
        <v>0.8071163991189361</v>
      </c>
      <c r="G100" s="41">
        <f>E100*0.93</f>
        <v>0.7738332486398047</v>
      </c>
      <c r="H100" s="41">
        <f>B9*1.05*0.9</f>
        <v>0.7488708857804562</v>
      </c>
      <c r="I100" s="9"/>
    </row>
    <row r="101" spans="1:19" ht="19.5" customHeight="1">
      <c r="A101" s="13" t="s">
        <v>2</v>
      </c>
      <c r="B101" s="29" t="s">
        <v>39</v>
      </c>
      <c r="C101" s="72">
        <f aca="true" t="shared" si="14" ref="C101:H101">C99</f>
        <v>0.9665309871000428</v>
      </c>
      <c r="D101" s="72">
        <f t="shared" si="14"/>
        <v>0.8453578093793315</v>
      </c>
      <c r="E101" s="72">
        <f t="shared" si="14"/>
        <v>0.7678164510911736</v>
      </c>
      <c r="F101" s="72">
        <f t="shared" si="14"/>
        <v>0.7264959188910548</v>
      </c>
      <c r="G101" s="72">
        <f t="shared" si="14"/>
        <v>0.6865883320687283</v>
      </c>
      <c r="H101" s="72">
        <f t="shared" si="14"/>
        <v>0.6795880722894949</v>
      </c>
      <c r="I101" s="9"/>
      <c r="J101" s="9"/>
      <c r="K101" s="9"/>
      <c r="L101" s="9"/>
      <c r="M101" s="8"/>
      <c r="N101" s="9"/>
      <c r="O101" s="9"/>
      <c r="P101" s="9"/>
      <c r="Q101" s="9"/>
      <c r="R101" s="9"/>
      <c r="S101" s="9"/>
    </row>
    <row r="102" spans="1:19" ht="19.5" customHeight="1">
      <c r="A102" s="9"/>
      <c r="B102" s="28" t="s">
        <v>40</v>
      </c>
      <c r="C102" s="40">
        <f>B9*1.24*0.95</f>
        <v>0.9335131253432565</v>
      </c>
      <c r="D102" s="41">
        <f>B9*1.07*0.95</f>
        <v>0.8055314871913585</v>
      </c>
      <c r="E102" s="41">
        <f>B9*0.95</f>
        <v>0.7528331655994004</v>
      </c>
      <c r="F102" s="41">
        <f>E102*0.97</f>
        <v>0.7302481706314183</v>
      </c>
      <c r="G102" s="41">
        <f>E102*0.93</f>
        <v>0.7001348440074424</v>
      </c>
      <c r="H102" s="41">
        <f>B9*0.9*0.95</f>
        <v>0.6775498490394603</v>
      </c>
      <c r="I102" s="8"/>
      <c r="J102" s="32"/>
      <c r="K102" s="32"/>
      <c r="L102" s="32"/>
      <c r="M102" s="9"/>
      <c r="N102" s="9"/>
      <c r="O102" s="9"/>
      <c r="P102" s="9"/>
      <c r="Q102" s="9"/>
      <c r="R102" s="9"/>
      <c r="S102" s="9"/>
    </row>
    <row r="103" spans="1:19" ht="19.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9.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19.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9.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9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19.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9.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19.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19.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9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19.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19.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19.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19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19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9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19.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19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19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19.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19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19.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19.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19.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19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19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19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19.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19.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19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19.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19.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19.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19.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19.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19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19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19.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19.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19.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19.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19.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19.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19.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19.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19.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19.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19.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19.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19.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19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19.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19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19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19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19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19.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19.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19.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19.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19.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19.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19.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19.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19.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19.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19.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19.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19.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19.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19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19.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19.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19.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19.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19.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19.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19.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19.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19.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19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19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19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19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19.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19.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19.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19.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19.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spans="1:10" ht="19.5" customHeight="1">
      <c r="A201" s="2"/>
      <c r="B201" s="3"/>
      <c r="C201" s="4"/>
      <c r="D201" s="5"/>
      <c r="E201" s="5"/>
      <c r="F201" s="5"/>
      <c r="G201" s="5"/>
      <c r="H201" s="5"/>
      <c r="I201" s="1"/>
      <c r="J201" s="1"/>
    </row>
    <row r="202" spans="9:10" ht="19.5" customHeight="1">
      <c r="I202" s="1"/>
      <c r="J202" s="1"/>
    </row>
    <row r="203" spans="9:10" ht="19.5" customHeight="1">
      <c r="I203" s="1"/>
      <c r="J203" s="1"/>
    </row>
    <row r="204" spans="9:10" ht="19.5" customHeight="1">
      <c r="I204" s="1"/>
      <c r="J204" s="1"/>
    </row>
    <row r="205" spans="9:10" ht="19.5" customHeight="1">
      <c r="I205" s="1"/>
      <c r="J205" s="1"/>
    </row>
    <row r="206" spans="9:10" ht="19.5" customHeight="1">
      <c r="I206" s="1"/>
      <c r="J206" s="1"/>
    </row>
    <row r="207" spans="9:10" ht="19.5" customHeight="1">
      <c r="I207" s="1"/>
      <c r="J207" s="1"/>
    </row>
    <row r="208" spans="9:10" ht="19.5" customHeight="1">
      <c r="I208" s="1"/>
      <c r="J208" s="1"/>
    </row>
    <row r="209" spans="9:10" ht="19.5" customHeight="1">
      <c r="I209" s="1"/>
      <c r="J209" s="1"/>
    </row>
    <row r="210" spans="9:10" ht="19.5" customHeight="1">
      <c r="I210" s="1"/>
      <c r="J210" s="1"/>
    </row>
    <row r="211" spans="9:10" ht="19.5" customHeight="1">
      <c r="I211" s="1"/>
      <c r="J211" s="1"/>
    </row>
    <row r="212" spans="1:10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</sheetData>
  <sheetProtection/>
  <printOptions gridLines="1"/>
  <pageMargins left="1.141732283464567" right="0.7086614173228347" top="1.3779527559055118" bottom="0.7086614173228347" header="0.7874015748031497" footer="0.4724409448818898"/>
  <pageSetup firstPageNumber="1" useFirstPageNumber="1" horizontalDpi="300" verticalDpi="300" orientation="landscape" paperSize="9" r:id="rId1"/>
  <headerFooter alignWithMargins="0">
    <oddHeader>&amp;L&amp;"Arial,Έντονα"ΘΕΑΤΡΟ&amp;R&amp;"Arial,Έντονα"ΑΚΟΥΣΤΙΚΗ ΔΙΟΡΘΩΣΗ</oddHeader>
    <oddFooter>&amp;LΝΙΚΟΣ Κ. ΜΠΑΡΚΑΣ - Τμήμα Αρχιτεκτόνων ΔΠΘ&amp;R&amp;"Arial,Έντονα"σελίδα &amp;P</oddFooter>
  </headerFooter>
  <rowBreaks count="8" manualBreakCount="8">
    <brk id="13" max="10" man="1"/>
    <brk id="33" max="10" man="1"/>
    <brk id="47" max="10" man="1"/>
    <brk id="66" max="10" man="1"/>
    <brk id="118" max="65535" man="1"/>
    <brk id="140" max="65535" man="1"/>
    <brk id="175" max="65535" man="1"/>
    <brk id="211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FLdoc</dc:title>
  <dc:subject>ΑΚΟΥΣΤΙΚΗ ΔΙΟΡΘΩΣΗ</dc:subject>
  <dc:creator>ΝΙΚΟΣ ΜΠΑΡΚΑΣ - ΔΠΘ</dc:creator>
  <cp:keywords/>
  <dc:description/>
  <cp:lastModifiedBy>Owner</cp:lastModifiedBy>
  <cp:lastPrinted>2024-06-12T16:40:23Z</cp:lastPrinted>
  <dcterms:created xsi:type="dcterms:W3CDTF">1998-12-03T20:40:42Z</dcterms:created>
  <dcterms:modified xsi:type="dcterms:W3CDTF">2024-06-12T16:41:06Z</dcterms:modified>
  <cp:category/>
  <cp:version/>
  <cp:contentType/>
  <cp:contentStatus/>
</cp:coreProperties>
</file>