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orthwind\Costasx\ΔΠΘ\Προπτυχιακά\Μη Συμβατικές Πηγές Ενέργειας\2020\Thema 3 PV\"/>
    </mc:Choice>
  </mc:AlternateContent>
  <bookViews>
    <workbookView xWindow="-20" yWindow="-20" windowWidth="9620" windowHeight="11900"/>
  </bookViews>
  <sheets>
    <sheet name="sheet1" sheetId="1" r:id="rId1"/>
  </sheets>
  <definedNames>
    <definedName name="solver_adj" localSheetId="0" hidden="1">sheet1!$N$11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sheet1!#REF!</definedName>
    <definedName name="solver_lhs2" localSheetId="0" hidden="1">sheet1!#REF!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sheet1!$U$73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hs1" localSheetId="0" hidden="1">0</definedName>
    <definedName name="solver_rhs2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calcId="162913"/>
</workbook>
</file>

<file path=xl/calcChain.xml><?xml version="1.0" encoding="utf-8"?>
<calcChain xmlns="http://schemas.openxmlformats.org/spreadsheetml/2006/main">
  <c r="B23" i="1" l="1"/>
  <c r="B24" i="1" s="1"/>
  <c r="F30" i="1"/>
  <c r="F46" i="1" s="1"/>
  <c r="F62" i="1" s="1"/>
  <c r="F32" i="1"/>
  <c r="F48" i="1" s="1"/>
  <c r="F64" i="1" s="1"/>
  <c r="F33" i="1"/>
  <c r="F49" i="1" s="1"/>
  <c r="F65" i="1" s="1"/>
  <c r="F34" i="1"/>
  <c r="F50" i="1" s="1"/>
  <c r="F66" i="1" s="1"/>
  <c r="F35" i="1"/>
  <c r="F51" i="1" s="1"/>
  <c r="F67" i="1" s="1"/>
  <c r="F36" i="1"/>
  <c r="F52" i="1" s="1"/>
  <c r="F68" i="1" s="1"/>
  <c r="F37" i="1"/>
  <c r="F53" i="1" s="1"/>
  <c r="F69" i="1" s="1"/>
  <c r="F38" i="1"/>
  <c r="F54" i="1" s="1"/>
  <c r="F70" i="1" s="1"/>
  <c r="F39" i="1"/>
  <c r="F55" i="1" s="1"/>
  <c r="F71" i="1" s="1"/>
  <c r="F40" i="1"/>
  <c r="F56" i="1" s="1"/>
  <c r="F72" i="1" s="1"/>
  <c r="F41" i="1"/>
  <c r="F57" i="1" s="1"/>
  <c r="F73" i="1" s="1"/>
  <c r="F31" i="1"/>
  <c r="F47" i="1" s="1"/>
  <c r="F63" i="1" s="1"/>
  <c r="E30" i="1"/>
  <c r="E73" i="1"/>
  <c r="E72" i="1"/>
  <c r="E71" i="1"/>
  <c r="E70" i="1"/>
  <c r="E69" i="1"/>
  <c r="E68" i="1"/>
  <c r="E67" i="1"/>
  <c r="E66" i="1"/>
  <c r="E65" i="1"/>
  <c r="E64" i="1"/>
  <c r="E63" i="1"/>
  <c r="E62" i="1"/>
  <c r="E57" i="1"/>
  <c r="E56" i="1"/>
  <c r="E55" i="1"/>
  <c r="E54" i="1"/>
  <c r="E53" i="1"/>
  <c r="E52" i="1"/>
  <c r="E51" i="1"/>
  <c r="E50" i="1"/>
  <c r="E49" i="1"/>
  <c r="E48" i="1"/>
  <c r="E47" i="1"/>
  <c r="G47" i="1" s="1"/>
  <c r="E46" i="1"/>
  <c r="E32" i="1"/>
  <c r="E33" i="1"/>
  <c r="E34" i="1"/>
  <c r="E35" i="1"/>
  <c r="E36" i="1"/>
  <c r="E37" i="1"/>
  <c r="E38" i="1"/>
  <c r="E39" i="1"/>
  <c r="E40" i="1"/>
  <c r="E41" i="1"/>
  <c r="E31" i="1"/>
  <c r="D16" i="1"/>
  <c r="C16" i="1"/>
  <c r="B25" i="1"/>
  <c r="G46" i="1" l="1"/>
  <c r="G30" i="1"/>
  <c r="J30" i="1" s="1"/>
  <c r="G48" i="1"/>
  <c r="G50" i="1"/>
  <c r="G52" i="1"/>
  <c r="G54" i="1"/>
  <c r="G56" i="1"/>
  <c r="G49" i="1"/>
  <c r="G51" i="1"/>
  <c r="G53" i="1"/>
  <c r="G55" i="1"/>
  <c r="G57" i="1"/>
  <c r="D20" i="1" l="1"/>
  <c r="C20" i="1"/>
  <c r="D19" i="1"/>
  <c r="C19" i="1"/>
  <c r="D17" i="1"/>
  <c r="C17" i="1"/>
  <c r="D18" i="1"/>
  <c r="C18" i="1"/>
  <c r="R63" i="1" l="1"/>
  <c r="R64" i="1"/>
  <c r="G73" i="1"/>
  <c r="J73" i="1" s="1"/>
  <c r="G63" i="1"/>
  <c r="J63" i="1" s="1"/>
  <c r="G62" i="1"/>
  <c r="H62" i="1" s="1"/>
  <c r="G69" i="1"/>
  <c r="J69" i="1" s="1"/>
  <c r="G65" i="1"/>
  <c r="J65" i="1" s="1"/>
  <c r="G71" i="1"/>
  <c r="J71" i="1" s="1"/>
  <c r="G67" i="1"/>
  <c r="J67" i="1" s="1"/>
  <c r="G68" i="1"/>
  <c r="J68" i="1" s="1"/>
  <c r="G70" i="1"/>
  <c r="J70" i="1" s="1"/>
  <c r="G72" i="1"/>
  <c r="J72" i="1" s="1"/>
  <c r="G64" i="1"/>
  <c r="J64" i="1" s="1"/>
  <c r="G66" i="1"/>
  <c r="J66" i="1" s="1"/>
  <c r="J62" i="1" l="1"/>
  <c r="G31" i="1"/>
  <c r="H31" i="1" s="1"/>
  <c r="H48" i="1"/>
  <c r="H47" i="1"/>
  <c r="K30" i="1"/>
  <c r="H30" i="1"/>
  <c r="J46" i="1"/>
  <c r="H46" i="1"/>
  <c r="H65" i="1"/>
  <c r="H63" i="1"/>
  <c r="H64" i="1"/>
  <c r="K64" i="1"/>
  <c r="K65" i="1"/>
  <c r="G32" i="1"/>
  <c r="L30" i="1" l="1"/>
  <c r="M30" i="1" s="1"/>
  <c r="K62" i="1"/>
  <c r="L62" i="1" s="1"/>
  <c r="M62" i="1" s="1"/>
  <c r="J31" i="1"/>
  <c r="K31" i="1" s="1"/>
  <c r="L31" i="1" s="1"/>
  <c r="M31" i="1" s="1"/>
  <c r="J47" i="1"/>
  <c r="K47" i="1" s="1"/>
  <c r="L47" i="1" s="1"/>
  <c r="M47" i="1" s="1"/>
  <c r="G33" i="1"/>
  <c r="H33" i="1" s="1"/>
  <c r="J50" i="1"/>
  <c r="J48" i="1"/>
  <c r="K48" i="1" s="1"/>
  <c r="L48" i="1" s="1"/>
  <c r="M48" i="1" s="1"/>
  <c r="L64" i="1"/>
  <c r="M64" i="1" s="1"/>
  <c r="L65" i="1"/>
  <c r="M65" i="1" s="1"/>
  <c r="K63" i="1"/>
  <c r="K46" i="1"/>
  <c r="L46" i="1" s="1"/>
  <c r="M46" i="1" s="1"/>
  <c r="H66" i="1"/>
  <c r="H67" i="1"/>
  <c r="J32" i="1"/>
  <c r="K32" i="1" s="1"/>
  <c r="H32" i="1"/>
  <c r="H50" i="1" l="1"/>
  <c r="J33" i="1"/>
  <c r="K33" i="1" s="1"/>
  <c r="L33" i="1" s="1"/>
  <c r="M33" i="1" s="1"/>
  <c r="H49" i="1"/>
  <c r="J49" i="1"/>
  <c r="K49" i="1" s="1"/>
  <c r="J51" i="1"/>
  <c r="K51" i="1" s="1"/>
  <c r="L32" i="1"/>
  <c r="M32" i="1" s="1"/>
  <c r="L63" i="1"/>
  <c r="M63" i="1" s="1"/>
  <c r="K50" i="1"/>
  <c r="K66" i="1"/>
  <c r="L66" i="1" s="1"/>
  <c r="M66" i="1" s="1"/>
  <c r="K67" i="1"/>
  <c r="L50" i="1" l="1"/>
  <c r="M50" i="1" s="1"/>
  <c r="G34" i="1"/>
  <c r="G36" i="1"/>
  <c r="H51" i="1"/>
  <c r="L51" i="1" s="1"/>
  <c r="M51" i="1" s="1"/>
  <c r="G35" i="1"/>
  <c r="L49" i="1"/>
  <c r="M49" i="1" s="1"/>
  <c r="L67" i="1"/>
  <c r="M67" i="1" s="1"/>
  <c r="H69" i="1"/>
  <c r="H68" i="1"/>
  <c r="J36" i="1" l="1"/>
  <c r="K36" i="1" s="1"/>
  <c r="H36" i="1"/>
  <c r="J35" i="1"/>
  <c r="K35" i="1" s="1"/>
  <c r="H35" i="1"/>
  <c r="H53" i="1"/>
  <c r="H34" i="1"/>
  <c r="J34" i="1"/>
  <c r="K34" i="1" s="1"/>
  <c r="J52" i="1"/>
  <c r="H52" i="1"/>
  <c r="H70" i="1"/>
  <c r="L35" i="1" l="1"/>
  <c r="M35" i="1" s="1"/>
  <c r="L36" i="1"/>
  <c r="M36" i="1" s="1"/>
  <c r="M25" i="1" s="1"/>
  <c r="M26" i="1" s="1"/>
  <c r="J53" i="1"/>
  <c r="L34" i="1"/>
  <c r="M34" i="1" s="1"/>
  <c r="J54" i="1"/>
  <c r="H71" i="1"/>
  <c r="K53" i="1"/>
  <c r="L53" i="1" s="1"/>
  <c r="M53" i="1" s="1"/>
  <c r="K69" i="1"/>
  <c r="K52" i="1"/>
  <c r="L52" i="1" s="1"/>
  <c r="M52" i="1" s="1"/>
  <c r="K68" i="1"/>
  <c r="H54" i="1" l="1"/>
  <c r="G37" i="1"/>
  <c r="J55" i="1"/>
  <c r="G38" i="1"/>
  <c r="L68" i="1"/>
  <c r="M68" i="1" s="1"/>
  <c r="L69" i="1"/>
  <c r="M69" i="1" s="1"/>
  <c r="H55" i="1"/>
  <c r="K54" i="1"/>
  <c r="K70" i="1"/>
  <c r="L54" i="1" l="1"/>
  <c r="M54" i="1" s="1"/>
  <c r="J38" i="1"/>
  <c r="K38" i="1" s="1"/>
  <c r="H38" i="1"/>
  <c r="G40" i="1"/>
  <c r="H37" i="1"/>
  <c r="J37" i="1"/>
  <c r="K37" i="1" s="1"/>
  <c r="G39" i="1"/>
  <c r="L70" i="1"/>
  <c r="M70" i="1" s="1"/>
  <c r="K55" i="1"/>
  <c r="L55" i="1" s="1"/>
  <c r="M55" i="1" s="1"/>
  <c r="K71" i="1"/>
  <c r="H73" i="1"/>
  <c r="H72" i="1"/>
  <c r="L37" i="1" l="1"/>
  <c r="M37" i="1" s="1"/>
  <c r="H40" i="1"/>
  <c r="J40" i="1"/>
  <c r="K40" i="1" s="1"/>
  <c r="J57" i="1"/>
  <c r="K57" i="1" s="1"/>
  <c r="H39" i="1"/>
  <c r="J39" i="1"/>
  <c r="K39" i="1" s="1"/>
  <c r="L38" i="1"/>
  <c r="M38" i="1" s="1"/>
  <c r="L71" i="1"/>
  <c r="M71" i="1" s="1"/>
  <c r="J56" i="1"/>
  <c r="H56" i="1"/>
  <c r="H57" i="1" l="1"/>
  <c r="L40" i="1"/>
  <c r="M40" i="1" s="1"/>
  <c r="L39" i="1"/>
  <c r="M39" i="1" s="1"/>
  <c r="K73" i="1"/>
  <c r="K56" i="1"/>
  <c r="L56" i="1" s="1"/>
  <c r="M56" i="1" s="1"/>
  <c r="K72" i="1"/>
  <c r="L57" i="1" l="1"/>
  <c r="M57" i="1" s="1"/>
  <c r="G41" i="1"/>
  <c r="L72" i="1"/>
  <c r="M72" i="1" s="1"/>
  <c r="L73" i="1"/>
  <c r="M73" i="1" s="1"/>
  <c r="J41" i="1" l="1"/>
  <c r="K41" i="1" s="1"/>
  <c r="H41" i="1"/>
  <c r="L41" i="1" l="1"/>
  <c r="M41" i="1" s="1"/>
  <c r="R52" i="1"/>
  <c r="R57" i="1"/>
  <c r="R47" i="1"/>
  <c r="R35" i="1"/>
  <c r="R65" i="1"/>
  <c r="R68" i="1"/>
  <c r="R73" i="1"/>
  <c r="R51" i="1"/>
  <c r="R72" i="1"/>
  <c r="R49" i="1"/>
  <c r="R50" i="1"/>
  <c r="R55" i="1"/>
  <c r="R36" i="1"/>
  <c r="R41" i="1"/>
  <c r="R31" i="1"/>
  <c r="R66" i="1"/>
  <c r="R71" i="1"/>
  <c r="R40" i="1"/>
  <c r="R69" i="1"/>
  <c r="R70" i="1"/>
  <c r="Q63" i="1"/>
  <c r="R56" i="1"/>
  <c r="R33" i="1"/>
  <c r="R34" i="1"/>
  <c r="R39" i="1"/>
  <c r="R32" i="1"/>
  <c r="R37" i="1"/>
  <c r="R38" i="1"/>
  <c r="Q31" i="1"/>
  <c r="R67" i="1"/>
  <c r="R48" i="1"/>
  <c r="R53" i="1"/>
  <c r="R54" i="1"/>
  <c r="Q47" i="1"/>
  <c r="M42" i="1" l="1"/>
  <c r="S31" i="1" s="1"/>
  <c r="M23" i="1"/>
  <c r="M24" i="1" s="1"/>
  <c r="M74" i="1"/>
  <c r="M58" i="1" l="1"/>
  <c r="S66" i="1"/>
  <c r="T66" i="1" s="1"/>
  <c r="S73" i="1"/>
  <c r="T73" i="1" s="1"/>
  <c r="S71" i="1"/>
  <c r="T71" i="1" s="1"/>
  <c r="S72" i="1"/>
  <c r="T72" i="1" s="1"/>
  <c r="S68" i="1"/>
  <c r="T68" i="1" s="1"/>
  <c r="S64" i="1"/>
  <c r="T64" i="1" s="1"/>
  <c r="S70" i="1"/>
  <c r="T70" i="1" s="1"/>
  <c r="S69" i="1"/>
  <c r="T69" i="1" s="1"/>
  <c r="S67" i="1"/>
  <c r="T67" i="1" s="1"/>
  <c r="S65" i="1"/>
  <c r="T65" i="1" s="1"/>
  <c r="S63" i="1"/>
  <c r="T63" i="1" s="1"/>
  <c r="U63" i="1" s="1"/>
  <c r="U64" i="1" s="1"/>
  <c r="U65" i="1" l="1"/>
  <c r="S39" i="1"/>
  <c r="T39" i="1" s="1"/>
  <c r="S40" i="1"/>
  <c r="T40" i="1" s="1"/>
  <c r="T31" i="1"/>
  <c r="U31" i="1" s="1"/>
  <c r="S33" i="1"/>
  <c r="T33" i="1" s="1"/>
  <c r="S32" i="1"/>
  <c r="T32" i="1" s="1"/>
  <c r="S36" i="1"/>
  <c r="T36" i="1" s="1"/>
  <c r="S37" i="1"/>
  <c r="T37" i="1" s="1"/>
  <c r="S34" i="1"/>
  <c r="T34" i="1" s="1"/>
  <c r="S38" i="1"/>
  <c r="T38" i="1" s="1"/>
  <c r="S35" i="1"/>
  <c r="T35" i="1" s="1"/>
  <c r="S41" i="1"/>
  <c r="T41" i="1" s="1"/>
  <c r="S51" i="1"/>
  <c r="T51" i="1" s="1"/>
  <c r="S53" i="1"/>
  <c r="T53" i="1" s="1"/>
  <c r="S56" i="1"/>
  <c r="T56" i="1" s="1"/>
  <c r="S50" i="1"/>
  <c r="T50" i="1" s="1"/>
  <c r="S48" i="1"/>
  <c r="T48" i="1" s="1"/>
  <c r="S49" i="1"/>
  <c r="T49" i="1" s="1"/>
  <c r="S57" i="1"/>
  <c r="T57" i="1" s="1"/>
  <c r="S54" i="1"/>
  <c r="T54" i="1" s="1"/>
  <c r="S55" i="1"/>
  <c r="T55" i="1" s="1"/>
  <c r="S52" i="1"/>
  <c r="T52" i="1" s="1"/>
  <c r="S47" i="1"/>
  <c r="T47" i="1" s="1"/>
  <c r="U47" i="1" s="1"/>
  <c r="U48" i="1" l="1"/>
  <c r="U49" i="1" s="1"/>
  <c r="U50" i="1" s="1"/>
  <c r="U51" i="1" s="1"/>
  <c r="U52" i="1" s="1"/>
  <c r="U53" i="1" s="1"/>
  <c r="U54" i="1" s="1"/>
  <c r="U55" i="1" s="1"/>
  <c r="U56" i="1" s="1"/>
  <c r="U57" i="1" s="1"/>
  <c r="U66" i="1"/>
  <c r="U67" i="1" s="1"/>
  <c r="U68" i="1" s="1"/>
  <c r="U69" i="1" s="1"/>
  <c r="U70" i="1" s="1"/>
  <c r="U71" i="1" s="1"/>
  <c r="U72" i="1" s="1"/>
  <c r="U73" i="1" s="1"/>
  <c r="U32" i="1"/>
  <c r="U33" i="1" s="1"/>
  <c r="U34" i="1" s="1"/>
  <c r="U35" i="1" s="1"/>
  <c r="U36" i="1" s="1"/>
  <c r="U37" i="1" s="1"/>
  <c r="U38" i="1" s="1"/>
  <c r="U39" i="1" s="1"/>
  <c r="U40" i="1" s="1"/>
  <c r="U41" i="1" s="1"/>
</calcChain>
</file>

<file path=xl/sharedStrings.xml><?xml version="1.0" encoding="utf-8"?>
<sst xmlns="http://schemas.openxmlformats.org/spreadsheetml/2006/main" count="180" uniqueCount="94">
  <si>
    <t>ν</t>
  </si>
  <si>
    <t>ωΔ,ο</t>
  </si>
  <si>
    <t>m2</t>
  </si>
  <si>
    <t>ΟΜΑΔΑ</t>
  </si>
  <si>
    <t>Τ, h</t>
  </si>
  <si>
    <t>I, kW/m2</t>
  </si>
  <si>
    <t>nI</t>
  </si>
  <si>
    <t>Tα, oC</t>
  </si>
  <si>
    <t>Tpv, oC</t>
  </si>
  <si>
    <t>nT</t>
  </si>
  <si>
    <t>n</t>
  </si>
  <si>
    <t>Ee, MWh</t>
  </si>
  <si>
    <t>HHκ, kWh/day/m2</t>
  </si>
  <si>
    <t>nn</t>
  </si>
  <si>
    <t>μήκος πλαισίου</t>
  </si>
  <si>
    <t>m</t>
  </si>
  <si>
    <t>πλάτος πλαισίου</t>
  </si>
  <si>
    <t>PMPP</t>
  </si>
  <si>
    <t>W</t>
  </si>
  <si>
    <t>πλήθος πλαισίων</t>
  </si>
  <si>
    <t>εμβαδόν Φ/Β επιφάνειας</t>
  </si>
  <si>
    <t>MWpeak</t>
  </si>
  <si>
    <t>A</t>
  </si>
  <si>
    <t>B</t>
  </si>
  <si>
    <t>Γ</t>
  </si>
  <si>
    <t>Δ</t>
  </si>
  <si>
    <t>Ε</t>
  </si>
  <si>
    <t>Ζ</t>
  </si>
  <si>
    <t>σταθερή κλίση</t>
  </si>
  <si>
    <t>μεταβαλ. απλού άξονα</t>
  </si>
  <si>
    <t>μεταβαλ. διπλού άξονα</t>
  </si>
  <si>
    <t>€/kWp</t>
  </si>
  <si>
    <t>ετήσιος πληθωρισμός</t>
  </si>
  <si>
    <t>%</t>
  </si>
  <si>
    <t>ΕΤΟΣ</t>
  </si>
  <si>
    <t>τιμή διάθεσης ηλεκτρικής ενέργειας</t>
  </si>
  <si>
    <t>€/MWh</t>
  </si>
  <si>
    <t>Α</t>
  </si>
  <si>
    <t>Β</t>
  </si>
  <si>
    <t>ΘΕΜΑ</t>
  </si>
  <si>
    <t>Όνομα</t>
  </si>
  <si>
    <t>Επώνυμο</t>
  </si>
  <si>
    <t>Αρ. Μητρώου (5 ψηφεία)</t>
  </si>
  <si>
    <t>ΦΟΙΤΗΤΗΣ 1</t>
  </si>
  <si>
    <t>ΦΟΙΤΗΤΗΣ 2</t>
  </si>
  <si>
    <t>ΔΕΔΟΜΕΝΑ</t>
  </si>
  <si>
    <t>HHκ, kWh/μήνα/m2</t>
  </si>
  <si>
    <t>ΝΑ ΣΥΜΠΛΗΡΩΘΟΥΝ ΤΑ ΛΕΥΚΑ ΚΑΙ ΚΟΚΚΙΝΑ ΚΕΛΛΙΑ, ΜΕΣΑ ΣΤΟ ΠΛΑΙΣΙΟ ΚΑΙ ΜΟΝΟ ΑΥΤΆ</t>
  </si>
  <si>
    <t>ΝΑ ΜΗΝ ΜΕΤΑΚΙΝΗΘΕΙ ΚΑΝΕΝΑ ΚΕΛΙ ΣΕ ΟΛΟ ΤΟ ΑΡΧΕΙΟ</t>
  </si>
  <si>
    <t>(ονομαστική ισχύς Φ/Β ΣΤΑΘΜΟΥ)</t>
  </si>
  <si>
    <t>ΣΤΑ ΚΟΚΚΙΝΑ ΚΕΛΙΑ ΝΑ ΜΕΤΑΦΕΡΘΟΥΝ ΔΕΔΟΜΕΝΑ Ή ΤΑ ΑΝΤΙΣΤΟΙΧΑ ΑΠΟΤΕΛΕΣΜΑΤΑ ΤΟΥ ΘΕΜΑΤΟΣ 1</t>
  </si>
  <si>
    <t>(κόστoς αγοράς πλαισίων)</t>
  </si>
  <si>
    <t xml:space="preserve">(κόστος μελέτης και εγκατάστασης) </t>
  </si>
  <si>
    <t xml:space="preserve">(κόστος ηλεκτρονικών ισχύος) </t>
  </si>
  <si>
    <t xml:space="preserve">(κόστος βάσεων στήριξης) </t>
  </si>
  <si>
    <t>(ετήσια λειτουργικά έξοδα)</t>
  </si>
  <si>
    <t>ΒΑΣΙΚΟΙ ΥΠΟΛΟΓΙΣΜΟΙ</t>
  </si>
  <si>
    <t>ΑΠΟΤΕΛΕΣΜΑΤΑ - ΖΗΤΟΥΜΕΝΑ</t>
  </si>
  <si>
    <t>(για σταθερή ετήσια κλίση)</t>
  </si>
  <si>
    <t>(για μεταβαλλόμενη κλίση απλού άξονα)</t>
  </si>
  <si>
    <t>(για μεταβαλλόμενη κλίση διπλού άξονα)</t>
  </si>
  <si>
    <t>υπολογισμοί για βέλτιστη σταθερή ετήσια κλίση</t>
  </si>
  <si>
    <t>υπολογισμοί για βέλτιστη σταθερή μηνιαία κλίση</t>
  </si>
  <si>
    <t xml:space="preserve">υπολογισμοί για βέλτιστη κλίση διπλού άξονα </t>
  </si>
  <si>
    <t>επένδυση, k€</t>
  </si>
  <si>
    <t>ετήσια</t>
  </si>
  <si>
    <t>αρχικη</t>
  </si>
  <si>
    <t>έξοδα, k€</t>
  </si>
  <si>
    <t>έσοδα, k€</t>
  </si>
  <si>
    <t>Παρούσα</t>
  </si>
  <si>
    <t>αξία</t>
  </si>
  <si>
    <t>εσόδων, k€</t>
  </si>
  <si>
    <t xml:space="preserve">Αθροιστική </t>
  </si>
  <si>
    <t xml:space="preserve"> χρηματορροή</t>
  </si>
  <si>
    <t>(το κελί U41 μηδενίζεται με "αναζήτηση στόχου" από την τιμή του Ν9)</t>
  </si>
  <si>
    <t>(το κελί U57 μηδενίζεται με "αναζήτηση στόχου" από την τιμή του Ν10)</t>
  </si>
  <si>
    <t>(το κελί U73 μηδενίζεται με "αναζήτηση στόχου" από την τιμή του Ν11)</t>
  </si>
  <si>
    <t>MWh/Ιαν</t>
  </si>
  <si>
    <t>MWh/Φεβ</t>
  </si>
  <si>
    <t>MWh/Μαρ</t>
  </si>
  <si>
    <t>MWh/Απρ</t>
  </si>
  <si>
    <t>MWh/Μαι</t>
  </si>
  <si>
    <t>MWh/Ιουν</t>
  </si>
  <si>
    <t>MWh/ιουλ</t>
  </si>
  <si>
    <t>MWh/Αυγ</t>
  </si>
  <si>
    <t>MWh/Σεπ</t>
  </si>
  <si>
    <t>MWh/Οκτ</t>
  </si>
  <si>
    <t>MWh/Νοε</t>
  </si>
  <si>
    <t>MWh/Δεκ</t>
  </si>
  <si>
    <t>MWh/έτος</t>
  </si>
  <si>
    <t>Dec</t>
  </si>
  <si>
    <t>MWh/day</t>
  </si>
  <si>
    <t>MWh/day/MWp</t>
  </si>
  <si>
    <t>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</si>
</sst>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2" borderId="0" xfId="0" applyNumberFormat="1" applyFill="1" applyProtection="1"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0" borderId="0" xfId="0" applyNumberFormat="1" applyFill="1" applyProtection="1">
      <protection locked="0"/>
    </xf>
    <xf numFmtId="2" fontId="0" fillId="2" borderId="0" xfId="0" applyNumberFormat="1" applyFill="1" applyBorder="1" applyProtection="1">
      <protection locked="0"/>
    </xf>
    <xf numFmtId="2" fontId="1" fillId="2" borderId="0" xfId="0" applyNumberFormat="1" applyFont="1" applyFill="1" applyBorder="1" applyProtection="1">
      <protection locked="0"/>
    </xf>
    <xf numFmtId="164" fontId="0" fillId="4" borderId="0" xfId="0" applyNumberFormat="1" applyFill="1" applyBorder="1" applyProtection="1">
      <protection locked="0"/>
    </xf>
    <xf numFmtId="164" fontId="1" fillId="2" borderId="0" xfId="0" applyNumberFormat="1" applyFon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64" fontId="0" fillId="2" borderId="0" xfId="0" applyNumberFormat="1" applyFill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" fontId="0" fillId="2" borderId="0" xfId="0" applyNumberFormat="1" applyFill="1" applyProtection="1">
      <protection locked="0"/>
    </xf>
    <xf numFmtId="164" fontId="0" fillId="4" borderId="0" xfId="0" applyNumberFormat="1" applyFill="1" applyAlignment="1" applyProtection="1">
      <alignment horizontal="center"/>
      <protection locked="0"/>
    </xf>
    <xf numFmtId="164" fontId="0" fillId="4" borderId="0" xfId="0" applyNumberFormat="1" applyFill="1" applyProtection="1"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" fontId="0" fillId="4" borderId="0" xfId="0" applyNumberFormat="1" applyFill="1" applyAlignment="1" applyProtection="1">
      <alignment horizontal="center"/>
      <protection locked="0"/>
    </xf>
    <xf numFmtId="2" fontId="1" fillId="0" borderId="0" xfId="0" applyNumberFormat="1" applyFont="1" applyProtection="1">
      <protection locked="0"/>
    </xf>
    <xf numFmtId="2" fontId="1" fillId="2" borderId="0" xfId="0" applyNumberFormat="1" applyFont="1" applyFill="1" applyProtection="1"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0" fontId="1" fillId="2" borderId="0" xfId="0" applyFont="1" applyFill="1" applyProtection="1"/>
    <xf numFmtId="0" fontId="1" fillId="2" borderId="1" xfId="0" applyFont="1" applyFill="1" applyBorder="1" applyProtection="1"/>
    <xf numFmtId="0" fontId="1" fillId="2" borderId="4" xfId="0" applyFont="1" applyFill="1" applyBorder="1" applyProtection="1"/>
    <xf numFmtId="2" fontId="1" fillId="2" borderId="4" xfId="0" applyNumberFormat="1" applyFont="1" applyFill="1" applyBorder="1" applyProtection="1"/>
    <xf numFmtId="2" fontId="1" fillId="2" borderId="6" xfId="0" applyNumberFormat="1" applyFont="1" applyFill="1" applyBorder="1" applyProtection="1"/>
    <xf numFmtId="2" fontId="0" fillId="2" borderId="0" xfId="0" applyNumberFormat="1" applyFill="1" applyProtection="1"/>
    <xf numFmtId="2" fontId="1" fillId="2" borderId="0" xfId="0" applyNumberFormat="1" applyFont="1" applyFill="1" applyBorder="1" applyProtection="1"/>
    <xf numFmtId="0" fontId="0" fillId="2" borderId="0" xfId="0" applyFill="1" applyBorder="1" applyProtection="1"/>
    <xf numFmtId="0" fontId="1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2" fontId="0" fillId="4" borderId="0" xfId="0" applyNumberFormat="1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0"/>
  <sheetViews>
    <sheetView tabSelected="1" topLeftCell="K121" zoomScale="70" zoomScaleNormal="70" workbookViewId="0">
      <selection activeCell="Y100" sqref="Y100:AE150"/>
    </sheetView>
  </sheetViews>
  <sheetFormatPr defaultColWidth="9.1796875" defaultRowHeight="14.5" x14ac:dyDescent="0.35"/>
  <cols>
    <col min="1" max="1" width="24.1796875" style="6" customWidth="1"/>
    <col min="2" max="2" width="23.26953125" style="6" customWidth="1"/>
    <col min="3" max="3" width="26" style="6" customWidth="1"/>
    <col min="4" max="4" width="9.1796875" style="6"/>
    <col min="5" max="5" width="19.81640625" style="6" customWidth="1"/>
    <col min="6" max="6" width="10.26953125" style="6" bestFit="1" customWidth="1"/>
    <col min="7" max="7" width="9.1796875" style="6"/>
    <col min="8" max="8" width="12.1796875" style="6" customWidth="1"/>
    <col min="9" max="9" width="11.81640625" style="6" customWidth="1"/>
    <col min="10" max="10" width="13.1796875" style="6" bestFit="1" customWidth="1"/>
    <col min="11" max="11" width="20.7265625" style="6" bestFit="1" customWidth="1"/>
    <col min="12" max="12" width="11.7265625" style="6" customWidth="1"/>
    <col min="13" max="13" width="9.1796875" style="6"/>
    <col min="14" max="14" width="10" style="6" bestFit="1" customWidth="1"/>
    <col min="15" max="15" width="9.7265625" style="6" customWidth="1"/>
    <col min="16" max="16" width="12.81640625" style="6" customWidth="1"/>
    <col min="17" max="17" width="14" style="6" customWidth="1"/>
    <col min="18" max="18" width="13.453125" style="6" customWidth="1"/>
    <col min="19" max="19" width="11.1796875" style="6" customWidth="1"/>
    <col min="20" max="20" width="11" style="6" customWidth="1"/>
    <col min="21" max="21" width="14.81640625" style="6" bestFit="1" customWidth="1"/>
    <col min="22" max="22" width="13.54296875" style="6" customWidth="1"/>
    <col min="23" max="23" width="3.26953125" style="6" customWidth="1"/>
    <col min="24" max="16384" width="9.1796875" style="6"/>
  </cols>
  <sheetData>
    <row r="1" spans="1:31" x14ac:dyDescent="0.35">
      <c r="A1" s="38" t="s">
        <v>39</v>
      </c>
      <c r="B1" s="3">
        <v>2</v>
      </c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2" t="s">
        <v>47</v>
      </c>
      <c r="O1" s="4"/>
      <c r="P1" s="4"/>
      <c r="Q1" s="4"/>
      <c r="R1" s="4"/>
      <c r="S1" s="4"/>
      <c r="T1" s="4"/>
      <c r="U1" s="4"/>
      <c r="V1" s="4"/>
      <c r="W1" s="5"/>
      <c r="Y1" s="6" t="s">
        <v>3</v>
      </c>
      <c r="Z1" s="6" t="s">
        <v>37</v>
      </c>
      <c r="AA1" s="6" t="s">
        <v>38</v>
      </c>
      <c r="AB1" s="6" t="s">
        <v>24</v>
      </c>
      <c r="AC1" s="6" t="s">
        <v>25</v>
      </c>
      <c r="AD1" s="6" t="s">
        <v>26</v>
      </c>
      <c r="AE1" s="6" t="s">
        <v>27</v>
      </c>
    </row>
    <row r="2" spans="1:31" x14ac:dyDescent="0.35">
      <c r="A2" s="38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 t="s">
        <v>48</v>
      </c>
      <c r="O2" s="4"/>
      <c r="P2" s="4"/>
      <c r="Q2" s="4"/>
      <c r="R2" s="4"/>
      <c r="S2" s="4"/>
      <c r="T2" s="4"/>
      <c r="U2" s="4"/>
      <c r="V2" s="4"/>
      <c r="W2" s="5"/>
      <c r="Y2" s="6">
        <v>1</v>
      </c>
      <c r="Z2" s="7">
        <v>0.05</v>
      </c>
      <c r="AA2" s="6">
        <v>600</v>
      </c>
      <c r="AB2" s="6">
        <v>500</v>
      </c>
      <c r="AC2" s="6">
        <v>300</v>
      </c>
      <c r="AD2" s="6">
        <v>250</v>
      </c>
      <c r="AE2" s="7">
        <v>10</v>
      </c>
    </row>
    <row r="3" spans="1:31" x14ac:dyDescent="0.35">
      <c r="A3" s="38"/>
      <c r="B3" s="2" t="s">
        <v>43</v>
      </c>
      <c r="C3" s="2" t="s">
        <v>44</v>
      </c>
      <c r="D3" s="4"/>
      <c r="E3" s="4"/>
      <c r="F3" s="4"/>
      <c r="G3" s="4"/>
      <c r="H3" s="4"/>
      <c r="I3" s="4"/>
      <c r="J3" s="4"/>
      <c r="K3" s="4"/>
      <c r="L3" s="4"/>
      <c r="M3" s="4"/>
      <c r="N3" s="2" t="s">
        <v>50</v>
      </c>
      <c r="O3" s="4"/>
      <c r="P3" s="4"/>
      <c r="Q3" s="4"/>
      <c r="R3" s="4"/>
      <c r="S3" s="4"/>
      <c r="T3" s="4"/>
      <c r="U3" s="4"/>
      <c r="V3" s="4"/>
      <c r="W3" s="5"/>
      <c r="Y3" s="6">
        <v>2</v>
      </c>
      <c r="Z3" s="7">
        <v>0.06</v>
      </c>
      <c r="AA3" s="6">
        <v>598</v>
      </c>
      <c r="AB3" s="6">
        <v>495</v>
      </c>
      <c r="AC3" s="6">
        <v>298</v>
      </c>
      <c r="AD3" s="6">
        <v>249</v>
      </c>
      <c r="AE3" s="7">
        <v>10</v>
      </c>
    </row>
    <row r="4" spans="1:31" x14ac:dyDescent="0.35">
      <c r="A4" s="38" t="s">
        <v>40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Y4" s="6">
        <v>3</v>
      </c>
      <c r="Z4" s="7">
        <v>7.0000000000000007E-2</v>
      </c>
      <c r="AA4" s="6">
        <v>596</v>
      </c>
      <c r="AB4" s="6">
        <v>490</v>
      </c>
      <c r="AC4" s="6">
        <v>296</v>
      </c>
      <c r="AD4" s="6">
        <v>248</v>
      </c>
      <c r="AE4" s="7">
        <v>10</v>
      </c>
    </row>
    <row r="5" spans="1:31" x14ac:dyDescent="0.35">
      <c r="A5" s="38" t="s">
        <v>41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Y5" s="6">
        <v>4</v>
      </c>
      <c r="Z5" s="7">
        <v>0.08</v>
      </c>
      <c r="AA5" s="6">
        <v>594</v>
      </c>
      <c r="AB5" s="6">
        <v>485</v>
      </c>
      <c r="AC5" s="6">
        <v>294</v>
      </c>
      <c r="AD5" s="6">
        <v>247</v>
      </c>
      <c r="AE5" s="7">
        <v>10</v>
      </c>
    </row>
    <row r="6" spans="1:31" x14ac:dyDescent="0.35">
      <c r="A6" s="38" t="s">
        <v>42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  <c r="Y6" s="6">
        <v>5</v>
      </c>
      <c r="Z6" s="7">
        <v>0.09</v>
      </c>
      <c r="AA6" s="6">
        <v>592</v>
      </c>
      <c r="AB6" s="6">
        <v>480</v>
      </c>
      <c r="AC6" s="6">
        <v>292</v>
      </c>
      <c r="AD6" s="6">
        <v>246</v>
      </c>
      <c r="AE6" s="7">
        <v>10</v>
      </c>
    </row>
    <row r="7" spans="1:31" ht="15" thickBot="1" x14ac:dyDescent="0.4">
      <c r="A7" s="3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  <c r="Y7" s="6">
        <v>6</v>
      </c>
      <c r="Z7" s="7">
        <v>0.1</v>
      </c>
      <c r="AA7" s="6">
        <v>590</v>
      </c>
      <c r="AB7" s="6">
        <v>475</v>
      </c>
      <c r="AC7" s="6">
        <v>290</v>
      </c>
      <c r="AD7" s="6">
        <v>245</v>
      </c>
      <c r="AE7" s="7">
        <v>10</v>
      </c>
    </row>
    <row r="8" spans="1:31" x14ac:dyDescent="0.35">
      <c r="A8" s="39" t="s">
        <v>45</v>
      </c>
      <c r="B8" s="8"/>
      <c r="C8" s="8"/>
      <c r="D8" s="8"/>
      <c r="E8" s="8"/>
      <c r="F8" s="8"/>
      <c r="G8" s="8"/>
      <c r="H8" s="8"/>
      <c r="I8" s="9"/>
      <c r="J8" s="4"/>
      <c r="K8" s="4" t="s">
        <v>57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5"/>
      <c r="Y8" s="6">
        <v>7</v>
      </c>
      <c r="Z8" s="7">
        <v>0.11</v>
      </c>
      <c r="AA8" s="6">
        <v>588</v>
      </c>
      <c r="AB8" s="6">
        <v>470</v>
      </c>
      <c r="AC8" s="6">
        <v>288</v>
      </c>
      <c r="AD8" s="6">
        <v>244</v>
      </c>
      <c r="AE8" s="7">
        <v>10</v>
      </c>
    </row>
    <row r="9" spans="1:31" x14ac:dyDescent="0.35">
      <c r="A9" s="40" t="s">
        <v>14</v>
      </c>
      <c r="B9" s="10">
        <v>1.6</v>
      </c>
      <c r="C9" s="11" t="s">
        <v>15</v>
      </c>
      <c r="D9" s="10"/>
      <c r="E9" s="10"/>
      <c r="F9" s="10"/>
      <c r="G9" s="10"/>
      <c r="H9" s="10"/>
      <c r="I9" s="12"/>
      <c r="J9" s="4"/>
      <c r="K9" s="1" t="s">
        <v>35</v>
      </c>
      <c r="L9" s="1"/>
      <c r="M9" s="1"/>
      <c r="N9" s="49">
        <v>112.07934489464412</v>
      </c>
      <c r="O9" s="1" t="s">
        <v>36</v>
      </c>
      <c r="P9" s="4" t="s">
        <v>58</v>
      </c>
      <c r="Q9" s="4"/>
      <c r="R9" s="4"/>
      <c r="S9" s="4"/>
      <c r="T9" s="4"/>
      <c r="U9" s="4"/>
      <c r="V9" s="4"/>
      <c r="W9" s="5"/>
      <c r="Y9" s="6">
        <v>8</v>
      </c>
      <c r="Z9" s="7">
        <v>0.12</v>
      </c>
      <c r="AA9" s="6">
        <v>586</v>
      </c>
      <c r="AB9" s="6">
        <v>465</v>
      </c>
      <c r="AC9" s="6">
        <v>286</v>
      </c>
      <c r="AD9" s="6">
        <v>243</v>
      </c>
      <c r="AE9" s="7">
        <v>10</v>
      </c>
    </row>
    <row r="10" spans="1:31" x14ac:dyDescent="0.35">
      <c r="A10" s="40" t="s">
        <v>16</v>
      </c>
      <c r="B10" s="10">
        <v>1</v>
      </c>
      <c r="C10" s="11" t="s">
        <v>15</v>
      </c>
      <c r="D10" s="10"/>
      <c r="E10" s="10"/>
      <c r="F10" s="10"/>
      <c r="G10" s="10"/>
      <c r="H10" s="10"/>
      <c r="I10" s="12"/>
      <c r="J10" s="4"/>
      <c r="K10" s="1" t="s">
        <v>35</v>
      </c>
      <c r="L10" s="1"/>
      <c r="M10" s="1"/>
      <c r="N10" s="49">
        <v>118.05714440149956</v>
      </c>
      <c r="O10" s="1" t="s">
        <v>36</v>
      </c>
      <c r="P10" s="4" t="s">
        <v>59</v>
      </c>
      <c r="Q10" s="4"/>
      <c r="R10" s="4"/>
      <c r="S10" s="4"/>
      <c r="T10" s="4"/>
      <c r="U10" s="4"/>
      <c r="V10" s="4"/>
      <c r="W10" s="5"/>
      <c r="Y10" s="6">
        <v>10</v>
      </c>
      <c r="Z10" s="7">
        <v>0.14000000000000001</v>
      </c>
      <c r="AA10" s="6">
        <v>584</v>
      </c>
      <c r="AB10" s="6">
        <v>455</v>
      </c>
      <c r="AC10" s="6">
        <v>282</v>
      </c>
      <c r="AD10" s="6">
        <v>241</v>
      </c>
      <c r="AE10" s="7">
        <v>10</v>
      </c>
    </row>
    <row r="11" spans="1:31" x14ac:dyDescent="0.35">
      <c r="A11" s="40" t="s">
        <v>17</v>
      </c>
      <c r="B11" s="10">
        <v>240</v>
      </c>
      <c r="C11" s="11" t="s">
        <v>18</v>
      </c>
      <c r="D11" s="10"/>
      <c r="E11" s="10"/>
      <c r="F11" s="10"/>
      <c r="G11" s="10"/>
      <c r="H11" s="10"/>
      <c r="I11" s="12"/>
      <c r="J11" s="4"/>
      <c r="K11" s="1" t="s">
        <v>35</v>
      </c>
      <c r="L11" s="1"/>
      <c r="M11" s="1"/>
      <c r="N11" s="49">
        <v>83.057826579316142</v>
      </c>
      <c r="O11" s="1" t="s">
        <v>36</v>
      </c>
      <c r="P11" s="4" t="s">
        <v>60</v>
      </c>
      <c r="Q11" s="4"/>
      <c r="R11" s="4"/>
      <c r="S11" s="4"/>
      <c r="T11" s="4"/>
      <c r="U11" s="4"/>
      <c r="V11" s="4"/>
      <c r="W11" s="5"/>
      <c r="Y11" s="6">
        <v>11</v>
      </c>
      <c r="Z11" s="7">
        <v>0.15</v>
      </c>
      <c r="AA11" s="6">
        <v>582</v>
      </c>
      <c r="AB11" s="6">
        <v>450</v>
      </c>
      <c r="AC11" s="6">
        <v>280</v>
      </c>
      <c r="AD11" s="6">
        <v>240</v>
      </c>
      <c r="AE11" s="7">
        <v>10</v>
      </c>
    </row>
    <row r="12" spans="1:31" x14ac:dyDescent="0.35">
      <c r="A12" s="41" t="s">
        <v>32</v>
      </c>
      <c r="B12" s="14">
        <v>2</v>
      </c>
      <c r="C12" s="15" t="s">
        <v>33</v>
      </c>
      <c r="D12" s="10"/>
      <c r="E12" s="10"/>
      <c r="F12" s="10"/>
      <c r="G12" s="10"/>
      <c r="H12" s="10"/>
      <c r="I12" s="12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"/>
      <c r="Y12" s="6">
        <v>12</v>
      </c>
      <c r="Z12" s="7">
        <v>0.16</v>
      </c>
      <c r="AA12" s="6">
        <v>580</v>
      </c>
      <c r="AB12" s="6">
        <v>445</v>
      </c>
      <c r="AC12" s="6">
        <v>278</v>
      </c>
      <c r="AD12" s="6">
        <v>239</v>
      </c>
      <c r="AE12" s="7">
        <v>10</v>
      </c>
    </row>
    <row r="13" spans="1:31" x14ac:dyDescent="0.35">
      <c r="A13" s="40" t="s">
        <v>22</v>
      </c>
      <c r="B13" s="16">
        <v>0.47</v>
      </c>
      <c r="C13" s="11" t="s">
        <v>21</v>
      </c>
      <c r="D13" s="11" t="s">
        <v>49</v>
      </c>
      <c r="E13" s="10"/>
      <c r="F13" s="10"/>
      <c r="G13" s="10"/>
      <c r="H13" s="10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  <c r="Y13" s="6">
        <v>13</v>
      </c>
      <c r="Z13" s="7">
        <v>0.17</v>
      </c>
      <c r="AA13" s="6">
        <v>578</v>
      </c>
      <c r="AB13" s="6">
        <v>440</v>
      </c>
      <c r="AC13" s="6">
        <v>276</v>
      </c>
      <c r="AD13" s="6">
        <v>238</v>
      </c>
      <c r="AE13" s="7">
        <v>10</v>
      </c>
    </row>
    <row r="14" spans="1:31" x14ac:dyDescent="0.35">
      <c r="A14" s="40"/>
      <c r="B14" s="45"/>
      <c r="C14" s="11"/>
      <c r="D14" s="10"/>
      <c r="E14" s="10"/>
      <c r="F14" s="10"/>
      <c r="G14" s="10"/>
      <c r="H14" s="10"/>
      <c r="I14" s="12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  <c r="Y14" s="6">
        <v>14</v>
      </c>
      <c r="Z14" s="7">
        <v>0.18</v>
      </c>
      <c r="AA14" s="6">
        <v>576</v>
      </c>
      <c r="AB14" s="6">
        <v>435</v>
      </c>
      <c r="AC14" s="6">
        <v>274</v>
      </c>
      <c r="AD14" s="6">
        <v>237</v>
      </c>
      <c r="AE14" s="7">
        <v>10</v>
      </c>
    </row>
    <row r="15" spans="1:31" x14ac:dyDescent="0.35">
      <c r="A15" s="41"/>
      <c r="B15" s="44" t="s">
        <v>28</v>
      </c>
      <c r="C15" s="15" t="s">
        <v>29</v>
      </c>
      <c r="D15" s="11" t="s">
        <v>30</v>
      </c>
      <c r="E15" s="17"/>
      <c r="F15" s="10"/>
      <c r="G15" s="10"/>
      <c r="H15" s="10"/>
      <c r="I15" s="12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"/>
      <c r="Y15" s="6">
        <v>15</v>
      </c>
      <c r="Z15" s="7">
        <v>0.19</v>
      </c>
      <c r="AA15" s="6">
        <v>574</v>
      </c>
      <c r="AB15" s="6">
        <v>430</v>
      </c>
      <c r="AC15" s="6">
        <v>272</v>
      </c>
      <c r="AD15" s="6">
        <v>236</v>
      </c>
      <c r="AE15" s="7">
        <v>10</v>
      </c>
    </row>
    <row r="16" spans="1:31" x14ac:dyDescent="0.35">
      <c r="A16" s="41" t="s">
        <v>23</v>
      </c>
      <c r="B16" s="18">
        <v>518</v>
      </c>
      <c r="C16" s="14">
        <f>B16</f>
        <v>518</v>
      </c>
      <c r="D16" s="14">
        <f>B16</f>
        <v>518</v>
      </c>
      <c r="E16" s="17" t="s">
        <v>31</v>
      </c>
      <c r="F16" s="11" t="s">
        <v>51</v>
      </c>
      <c r="G16" s="11"/>
      <c r="H16" s="11"/>
      <c r="I16" s="19"/>
      <c r="J16" s="4"/>
      <c r="K16" s="1"/>
      <c r="L16" s="4"/>
      <c r="M16" s="20"/>
      <c r="N16" s="4"/>
      <c r="O16" s="4"/>
      <c r="P16" s="4"/>
      <c r="Q16" s="4"/>
      <c r="R16" s="4"/>
      <c r="S16" s="4"/>
      <c r="T16" s="4"/>
      <c r="U16" s="4"/>
      <c r="V16" s="4"/>
      <c r="W16" s="5"/>
      <c r="Y16" s="6">
        <v>16</v>
      </c>
      <c r="Z16" s="7">
        <v>0.2</v>
      </c>
      <c r="AA16" s="6">
        <v>572</v>
      </c>
      <c r="AB16" s="6">
        <v>425</v>
      </c>
      <c r="AC16" s="6">
        <v>270</v>
      </c>
      <c r="AD16" s="6">
        <v>235</v>
      </c>
      <c r="AE16" s="7">
        <v>10</v>
      </c>
    </row>
    <row r="17" spans="1:31" x14ac:dyDescent="0.35">
      <c r="A17" s="41" t="s">
        <v>24</v>
      </c>
      <c r="B17" s="18">
        <v>290</v>
      </c>
      <c r="C17" s="14">
        <f>1.1*B17</f>
        <v>319</v>
      </c>
      <c r="D17" s="14">
        <f>B17*1.15</f>
        <v>333.5</v>
      </c>
      <c r="E17" s="17" t="s">
        <v>31</v>
      </c>
      <c r="F17" s="15" t="s">
        <v>52</v>
      </c>
      <c r="G17" s="11"/>
      <c r="H17" s="11"/>
      <c r="I17" s="19"/>
      <c r="J17" s="4"/>
      <c r="K17" s="1"/>
      <c r="L17" s="4"/>
      <c r="M17" s="20"/>
      <c r="N17" s="4"/>
      <c r="O17" s="4"/>
      <c r="P17" s="4"/>
      <c r="Q17" s="4"/>
      <c r="R17" s="4"/>
      <c r="S17" s="4"/>
      <c r="T17" s="4"/>
      <c r="U17" s="4"/>
      <c r="V17" s="4"/>
      <c r="W17" s="5"/>
      <c r="Y17" s="6">
        <v>17</v>
      </c>
      <c r="Z17" s="7">
        <v>0.21</v>
      </c>
      <c r="AA17" s="6">
        <v>570</v>
      </c>
      <c r="AB17" s="6">
        <v>420</v>
      </c>
      <c r="AC17" s="6">
        <v>268</v>
      </c>
      <c r="AD17" s="6">
        <v>234</v>
      </c>
      <c r="AE17" s="7">
        <v>10</v>
      </c>
    </row>
    <row r="18" spans="1:31" x14ac:dyDescent="0.35">
      <c r="A18" s="41" t="s">
        <v>25</v>
      </c>
      <c r="B18" s="18">
        <v>216</v>
      </c>
      <c r="C18" s="14">
        <f>B18*1.1</f>
        <v>237.60000000000002</v>
      </c>
      <c r="D18" s="14">
        <f>B18*1.15</f>
        <v>248.39999999999998</v>
      </c>
      <c r="E18" s="17" t="s">
        <v>31</v>
      </c>
      <c r="F18" s="15" t="s">
        <v>53</v>
      </c>
      <c r="G18" s="11"/>
      <c r="H18" s="11"/>
      <c r="I18" s="1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5"/>
      <c r="Y18" s="6">
        <v>18</v>
      </c>
      <c r="Z18" s="7">
        <v>0.22</v>
      </c>
      <c r="AA18" s="6">
        <v>568</v>
      </c>
      <c r="AB18" s="6">
        <v>415</v>
      </c>
      <c r="AC18" s="6">
        <v>266</v>
      </c>
      <c r="AD18" s="6">
        <v>233</v>
      </c>
      <c r="AE18" s="7">
        <v>10</v>
      </c>
    </row>
    <row r="19" spans="1:31" x14ac:dyDescent="0.35">
      <c r="A19" s="41" t="s">
        <v>26</v>
      </c>
      <c r="B19" s="18">
        <v>208</v>
      </c>
      <c r="C19" s="14">
        <f>B19*1.2</f>
        <v>249.6</v>
      </c>
      <c r="D19" s="14">
        <f>B19*1.5</f>
        <v>312</v>
      </c>
      <c r="E19" s="17" t="s">
        <v>31</v>
      </c>
      <c r="F19" s="15" t="s">
        <v>54</v>
      </c>
      <c r="G19" s="11"/>
      <c r="H19" s="11"/>
      <c r="I19" s="1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  <c r="Y19" s="6">
        <v>19</v>
      </c>
      <c r="Z19" s="7">
        <v>0.23</v>
      </c>
      <c r="AA19" s="6">
        <v>566</v>
      </c>
      <c r="AB19" s="6">
        <v>410</v>
      </c>
      <c r="AC19" s="6">
        <v>264</v>
      </c>
      <c r="AD19" s="6">
        <v>232</v>
      </c>
      <c r="AE19" s="7">
        <v>10</v>
      </c>
    </row>
    <row r="20" spans="1:31" ht="15" thickBot="1" x14ac:dyDescent="0.4">
      <c r="A20" s="42" t="s">
        <v>27</v>
      </c>
      <c r="B20" s="21">
        <v>10</v>
      </c>
      <c r="C20" s="22">
        <f>B20*1.5</f>
        <v>15</v>
      </c>
      <c r="D20" s="22">
        <f>B20*2</f>
        <v>20</v>
      </c>
      <c r="E20" s="23" t="s">
        <v>31</v>
      </c>
      <c r="F20" s="24" t="s">
        <v>55</v>
      </c>
      <c r="G20" s="25"/>
      <c r="H20" s="25"/>
      <c r="I20" s="26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  <c r="Y20" s="6">
        <v>20</v>
      </c>
      <c r="Z20" s="7">
        <v>0.24</v>
      </c>
      <c r="AA20" s="6">
        <v>564</v>
      </c>
      <c r="AB20" s="6">
        <v>405</v>
      </c>
      <c r="AC20" s="6">
        <v>262</v>
      </c>
      <c r="AD20" s="6">
        <v>231</v>
      </c>
      <c r="AE20" s="7">
        <v>10</v>
      </c>
    </row>
    <row r="21" spans="1:31" x14ac:dyDescent="0.35">
      <c r="A21" s="43"/>
      <c r="B21" s="4"/>
      <c r="C21" s="4"/>
      <c r="D21" s="4"/>
      <c r="E21" s="20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  <c r="Y21" s="6">
        <v>21</v>
      </c>
      <c r="Z21" s="7">
        <v>0.25</v>
      </c>
      <c r="AA21" s="6">
        <v>562</v>
      </c>
      <c r="AB21" s="6">
        <v>400</v>
      </c>
      <c r="AC21" s="6">
        <v>260</v>
      </c>
      <c r="AD21" s="6">
        <v>230</v>
      </c>
      <c r="AE21" s="7">
        <v>10</v>
      </c>
    </row>
    <row r="22" spans="1:31" x14ac:dyDescent="0.35">
      <c r="A22" s="44" t="s">
        <v>56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  <c r="Y22" s="6">
        <v>22</v>
      </c>
      <c r="Z22" s="7">
        <v>0.26</v>
      </c>
      <c r="AA22" s="6">
        <v>560</v>
      </c>
      <c r="AB22" s="6">
        <v>395</v>
      </c>
      <c r="AC22" s="6">
        <v>258</v>
      </c>
      <c r="AD22" s="6">
        <v>229</v>
      </c>
      <c r="AE22" s="7">
        <v>10</v>
      </c>
    </row>
    <row r="23" spans="1:31" x14ac:dyDescent="0.35">
      <c r="A23" s="38" t="s">
        <v>19</v>
      </c>
      <c r="B23" s="7">
        <f>B13*1000000/B11</f>
        <v>1958.3333333333333</v>
      </c>
      <c r="C23" s="2"/>
      <c r="D23" s="4"/>
      <c r="E23" s="4"/>
      <c r="F23" s="4"/>
      <c r="G23" s="4"/>
      <c r="H23" s="4"/>
      <c r="I23" s="4"/>
      <c r="J23" s="4"/>
      <c r="K23" s="4"/>
      <c r="L23" s="4" t="s">
        <v>90</v>
      </c>
      <c r="M23" s="4">
        <f>M41/31</f>
        <v>0.50170493745688238</v>
      </c>
      <c r="N23" s="4" t="s">
        <v>91</v>
      </c>
      <c r="O23" s="4"/>
      <c r="P23" s="4"/>
      <c r="Q23" s="4"/>
      <c r="R23" s="4"/>
      <c r="S23" s="4"/>
      <c r="T23" s="4"/>
      <c r="U23" s="4"/>
      <c r="V23" s="4"/>
      <c r="W23" s="5"/>
      <c r="Y23" s="6">
        <v>23</v>
      </c>
      <c r="Z23" s="7">
        <v>0.27</v>
      </c>
      <c r="AA23" s="6">
        <v>558</v>
      </c>
      <c r="AB23" s="6">
        <v>390</v>
      </c>
      <c r="AC23" s="6">
        <v>256</v>
      </c>
      <c r="AD23" s="6">
        <v>228</v>
      </c>
      <c r="AE23" s="7">
        <v>10</v>
      </c>
    </row>
    <row r="24" spans="1:31" x14ac:dyDescent="0.35">
      <c r="A24" s="38" t="s">
        <v>20</v>
      </c>
      <c r="B24" s="7">
        <f>B23*B9*B10</f>
        <v>3133.3333333333335</v>
      </c>
      <c r="C24" s="2" t="s">
        <v>2</v>
      </c>
      <c r="D24" s="4"/>
      <c r="E24" s="4"/>
      <c r="F24" s="4"/>
      <c r="G24" s="4"/>
      <c r="H24" s="4"/>
      <c r="I24" s="4"/>
      <c r="J24" s="4"/>
      <c r="K24" s="4"/>
      <c r="L24" s="4"/>
      <c r="M24" s="4">
        <f>M23/B13</f>
        <v>1.0674573137380476</v>
      </c>
      <c r="N24" s="4" t="s">
        <v>92</v>
      </c>
      <c r="O24" s="4"/>
      <c r="P24" s="4"/>
      <c r="Q24" s="4"/>
      <c r="R24" s="4"/>
      <c r="S24" s="4"/>
      <c r="T24" s="4"/>
      <c r="U24" s="4"/>
      <c r="V24" s="4"/>
      <c r="W24" s="5"/>
      <c r="Y24" s="6">
        <v>24</v>
      </c>
      <c r="Z24" s="7">
        <v>0.28000000000000003</v>
      </c>
      <c r="AA24" s="6">
        <v>556</v>
      </c>
      <c r="AB24" s="6">
        <v>385</v>
      </c>
      <c r="AC24" s="6">
        <v>254</v>
      </c>
      <c r="AD24" s="6">
        <v>227</v>
      </c>
      <c r="AE24" s="7">
        <v>10</v>
      </c>
    </row>
    <row r="25" spans="1:31" x14ac:dyDescent="0.35">
      <c r="A25" s="38" t="s">
        <v>13</v>
      </c>
      <c r="B25" s="7">
        <f>100*B11/(1000*B9*B10)</f>
        <v>15</v>
      </c>
      <c r="C25" s="2" t="s">
        <v>33</v>
      </c>
      <c r="D25" s="4"/>
      <c r="E25" s="4"/>
      <c r="F25" s="4"/>
      <c r="G25" s="4"/>
      <c r="H25" s="4"/>
      <c r="I25" s="4"/>
      <c r="J25" s="4"/>
      <c r="K25" s="4"/>
      <c r="L25" s="4" t="s">
        <v>93</v>
      </c>
      <c r="M25" s="4">
        <f>M36/31</f>
        <v>2.2971425785762856</v>
      </c>
      <c r="N25" s="4" t="s">
        <v>91</v>
      </c>
      <c r="O25" s="4"/>
      <c r="P25" s="4"/>
      <c r="Q25" s="4"/>
      <c r="R25" s="4"/>
      <c r="S25" s="4"/>
      <c r="T25" s="4"/>
      <c r="U25" s="4"/>
      <c r="V25" s="4"/>
      <c r="W25" s="5"/>
      <c r="Y25" s="6">
        <v>25</v>
      </c>
      <c r="Z25" s="7">
        <v>0.28999999999999998</v>
      </c>
      <c r="AA25" s="6">
        <v>554</v>
      </c>
      <c r="AB25" s="6">
        <v>380</v>
      </c>
      <c r="AC25" s="6">
        <v>252</v>
      </c>
      <c r="AD25" s="6">
        <v>226</v>
      </c>
      <c r="AE25" s="7">
        <v>10</v>
      </c>
    </row>
    <row r="26" spans="1:3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>
        <f>M25/B13</f>
        <v>4.8875374012261394</v>
      </c>
      <c r="N26" s="4" t="s">
        <v>92</v>
      </c>
      <c r="O26" s="4"/>
      <c r="P26" s="4"/>
      <c r="Q26" s="4"/>
      <c r="R26" s="4"/>
      <c r="S26" s="4"/>
      <c r="T26" s="4"/>
      <c r="U26" s="4"/>
      <c r="V26" s="4"/>
      <c r="W26" s="5"/>
      <c r="Y26" s="6">
        <v>26</v>
      </c>
      <c r="Z26" s="7">
        <v>0.3</v>
      </c>
      <c r="AA26" s="6">
        <v>552</v>
      </c>
      <c r="AB26" s="6">
        <v>375</v>
      </c>
      <c r="AC26" s="6">
        <v>250</v>
      </c>
      <c r="AD26" s="6">
        <v>225</v>
      </c>
      <c r="AE26" s="7">
        <v>10</v>
      </c>
    </row>
    <row r="27" spans="1:31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  <c r="Y27" s="6">
        <v>27</v>
      </c>
      <c r="Z27" s="7">
        <v>0.31</v>
      </c>
      <c r="AA27" s="6">
        <v>550</v>
      </c>
      <c r="AB27" s="6">
        <v>370</v>
      </c>
      <c r="AC27" s="6">
        <v>248</v>
      </c>
      <c r="AD27" s="6">
        <v>224</v>
      </c>
      <c r="AE27" s="7">
        <v>10</v>
      </c>
    </row>
    <row r="28" spans="1:31" x14ac:dyDescent="0.35">
      <c r="A28" s="2" t="s">
        <v>61</v>
      </c>
      <c r="B28" s="4"/>
      <c r="C28" s="4"/>
      <c r="D28" s="4"/>
      <c r="E28" s="4"/>
      <c r="F28" s="4"/>
      <c r="G28" s="4"/>
      <c r="H28" s="1"/>
      <c r="I28" s="1"/>
      <c r="J28" s="1"/>
      <c r="K28" s="1"/>
      <c r="L28" s="1"/>
      <c r="M28" s="4"/>
      <c r="N28" s="4"/>
      <c r="O28" s="4"/>
      <c r="P28" s="4"/>
      <c r="Q28" s="4"/>
      <c r="R28" s="4"/>
      <c r="S28" s="4"/>
      <c r="T28" s="4" t="s">
        <v>69</v>
      </c>
      <c r="U28" s="4"/>
      <c r="V28" s="4"/>
      <c r="W28" s="5"/>
      <c r="Y28" s="6">
        <v>28</v>
      </c>
      <c r="Z28" s="7">
        <v>0.32</v>
      </c>
      <c r="AA28" s="6">
        <v>548</v>
      </c>
      <c r="AB28" s="6">
        <v>365</v>
      </c>
      <c r="AC28" s="6">
        <v>246</v>
      </c>
      <c r="AD28" s="6">
        <v>223</v>
      </c>
      <c r="AE28" s="7">
        <v>10</v>
      </c>
    </row>
    <row r="29" spans="1:31" x14ac:dyDescent="0.35">
      <c r="A29" s="4"/>
      <c r="B29" s="27" t="s">
        <v>0</v>
      </c>
      <c r="C29" s="46" t="s">
        <v>46</v>
      </c>
      <c r="D29" s="46" t="s">
        <v>1</v>
      </c>
      <c r="E29" s="28" t="s">
        <v>12</v>
      </c>
      <c r="F29" s="28" t="s">
        <v>4</v>
      </c>
      <c r="G29" s="28" t="s">
        <v>5</v>
      </c>
      <c r="H29" s="28" t="s">
        <v>6</v>
      </c>
      <c r="I29" s="47" t="s">
        <v>7</v>
      </c>
      <c r="J29" s="28" t="s">
        <v>8</v>
      </c>
      <c r="K29" s="28" t="s">
        <v>9</v>
      </c>
      <c r="L29" s="28" t="s">
        <v>10</v>
      </c>
      <c r="M29" s="2" t="s">
        <v>11</v>
      </c>
      <c r="N29" s="4"/>
      <c r="O29" s="4"/>
      <c r="P29" s="4"/>
      <c r="Q29" s="4" t="s">
        <v>66</v>
      </c>
      <c r="R29" s="4" t="s">
        <v>65</v>
      </c>
      <c r="S29" s="4" t="s">
        <v>65</v>
      </c>
      <c r="T29" s="4" t="s">
        <v>70</v>
      </c>
      <c r="U29" s="4" t="s">
        <v>72</v>
      </c>
      <c r="V29" s="4"/>
      <c r="W29" s="5"/>
      <c r="Y29" s="6">
        <v>29</v>
      </c>
      <c r="Z29" s="7">
        <v>0.33</v>
      </c>
      <c r="AA29" s="6">
        <v>546</v>
      </c>
      <c r="AB29" s="6">
        <v>360</v>
      </c>
      <c r="AC29" s="6">
        <v>244</v>
      </c>
      <c r="AD29" s="6">
        <v>222</v>
      </c>
      <c r="AE29" s="7">
        <v>10</v>
      </c>
    </row>
    <row r="30" spans="1:31" x14ac:dyDescent="0.35">
      <c r="A30" s="29">
        <v>41654</v>
      </c>
      <c r="B30" s="28">
        <v>31</v>
      </c>
      <c r="C30" s="30">
        <v>55.77831738256981</v>
      </c>
      <c r="D30" s="31">
        <v>70.148595378943426</v>
      </c>
      <c r="E30" s="32">
        <f t="shared" ref="E30:E41" si="0">C30/B30</f>
        <v>1.7993005607280583</v>
      </c>
      <c r="F30" s="33">
        <f>2*D30/15</f>
        <v>9.3531460505257904</v>
      </c>
      <c r="G30" s="33">
        <f>E30/F30</f>
        <v>0.19237383346824891</v>
      </c>
      <c r="H30" s="33">
        <f>(-0.446)*(G30^2)+0.96*G30+0.48</f>
        <v>0.64817344958526069</v>
      </c>
      <c r="I30" s="34">
        <v>2</v>
      </c>
      <c r="J30" s="33">
        <f>I30+0.03*G30*1000</f>
        <v>7.771215004047467</v>
      </c>
      <c r="K30" s="33">
        <f>(-0.00002)*(J30^2)-0.001*J30+1.042</f>
        <v>1.0330209493431699</v>
      </c>
      <c r="L30" s="33">
        <f>(B$25/100)*H30*K30</f>
        <v>0.10043651283444048</v>
      </c>
      <c r="M30" s="35">
        <f>$B$24*C30*L30/1000</f>
        <v>17.553496360990966</v>
      </c>
      <c r="N30" s="4" t="s">
        <v>77</v>
      </c>
      <c r="O30" s="4"/>
      <c r="P30" s="4" t="s">
        <v>34</v>
      </c>
      <c r="Q30" s="4" t="s">
        <v>64</v>
      </c>
      <c r="R30" s="4" t="s">
        <v>67</v>
      </c>
      <c r="S30" s="4" t="s">
        <v>68</v>
      </c>
      <c r="T30" s="4" t="s">
        <v>71</v>
      </c>
      <c r="U30" s="4" t="s">
        <v>73</v>
      </c>
      <c r="V30" s="4"/>
      <c r="W30" s="5"/>
      <c r="Y30" s="6">
        <v>30</v>
      </c>
      <c r="Z30" s="7">
        <v>0.34</v>
      </c>
      <c r="AA30" s="6">
        <v>544</v>
      </c>
      <c r="AB30" s="6">
        <v>355</v>
      </c>
      <c r="AC30" s="6">
        <v>242</v>
      </c>
      <c r="AD30" s="6">
        <v>221</v>
      </c>
      <c r="AE30" s="7">
        <v>10</v>
      </c>
    </row>
    <row r="31" spans="1:31" x14ac:dyDescent="0.35">
      <c r="A31" s="29">
        <v>41684</v>
      </c>
      <c r="B31" s="28">
        <v>28</v>
      </c>
      <c r="C31" s="30">
        <v>78.844306075993416</v>
      </c>
      <c r="D31" s="31">
        <v>77.79772389405926</v>
      </c>
      <c r="E31" s="32">
        <f t="shared" si="0"/>
        <v>2.8158680741426219</v>
      </c>
      <c r="F31" s="33">
        <f>2*D31/15</f>
        <v>10.373029852541235</v>
      </c>
      <c r="G31" s="33">
        <f t="shared" ref="G31:G41" si="1">E31/F31</f>
        <v>0.27146051965258511</v>
      </c>
      <c r="H31" s="33">
        <f t="shared" ref="H31:H41" si="2">(-0.446)*(G31^2)+0.96*G31+0.48</f>
        <v>0.70773599594287862</v>
      </c>
      <c r="I31" s="34">
        <v>7.5</v>
      </c>
      <c r="J31" s="33">
        <f t="shared" ref="J31:J41" si="3">I31+0.03*G31*1000</f>
        <v>15.643815589577553</v>
      </c>
      <c r="K31" s="33">
        <f t="shared" ref="K31:K40" si="4">(-0.00002)*(J31^2)-0.001*J31+1.042</f>
        <v>1.0214616050864083</v>
      </c>
      <c r="L31" s="33">
        <f t="shared" ref="L31:L41" si="5">(B$25/100)*H31*K31</f>
        <v>0.10843877195898607</v>
      </c>
      <c r="M31" s="35">
        <f>$B$24*C31*L31/1000</f>
        <v>26.789309810762671</v>
      </c>
      <c r="N31" s="4" t="s">
        <v>78</v>
      </c>
      <c r="O31" s="4"/>
      <c r="P31" s="4">
        <v>2015</v>
      </c>
      <c r="Q31" s="7">
        <f>(B13*1000)*SUM(B16:B19)/1000</f>
        <v>579.04</v>
      </c>
      <c r="R31" s="7">
        <f t="shared" ref="R31:R41" si="6">($B$13*1000)*$B$20/1000</f>
        <v>4.7</v>
      </c>
      <c r="S31" s="7">
        <f>$M$42*$N$9/1000</f>
        <v>63.184035057611858</v>
      </c>
      <c r="T31" s="7">
        <f t="shared" ref="T31:T41" si="7">S31/((1+$B$12/100)^(P31-$P$31))</f>
        <v>63.184035057611858</v>
      </c>
      <c r="U31" s="7">
        <f>T31-R31-Q31</f>
        <v>-520.55596494238807</v>
      </c>
      <c r="V31" s="4"/>
      <c r="W31" s="5"/>
      <c r="Y31" s="6">
        <v>31</v>
      </c>
      <c r="Z31" s="7">
        <v>0.35</v>
      </c>
      <c r="AA31" s="6">
        <v>542</v>
      </c>
      <c r="AB31" s="6">
        <v>350</v>
      </c>
      <c r="AC31" s="6">
        <v>240</v>
      </c>
      <c r="AD31" s="6">
        <v>220</v>
      </c>
      <c r="AE31" s="7">
        <v>10</v>
      </c>
    </row>
    <row r="32" spans="1:31" x14ac:dyDescent="0.35">
      <c r="A32" s="29">
        <v>41713</v>
      </c>
      <c r="B32" s="28">
        <v>31</v>
      </c>
      <c r="C32" s="30">
        <v>130.82055725952645</v>
      </c>
      <c r="D32" s="31">
        <v>87.538192029094986</v>
      </c>
      <c r="E32" s="32">
        <f t="shared" si="0"/>
        <v>4.2200179761137564</v>
      </c>
      <c r="F32" s="33">
        <f t="shared" ref="F32:F41" si="8">2*D32/15</f>
        <v>11.671758937212665</v>
      </c>
      <c r="G32" s="33">
        <f t="shared" si="1"/>
        <v>0.36155801356205353</v>
      </c>
      <c r="H32" s="33">
        <f t="shared" si="2"/>
        <v>0.76879270108133291</v>
      </c>
      <c r="I32" s="34">
        <v>13.5</v>
      </c>
      <c r="J32" s="33">
        <f t="shared" si="3"/>
        <v>24.346740406861606</v>
      </c>
      <c r="K32" s="33">
        <f t="shared" si="4"/>
        <v>1.0057979842243563</v>
      </c>
      <c r="L32" s="33">
        <f t="shared" si="5"/>
        <v>0.1159875223551004</v>
      </c>
      <c r="M32" s="35">
        <f t="shared" ref="M32:M41" si="9">$B$24*C32*L32/1000</f>
        <v>47.543797236890853</v>
      </c>
      <c r="N32" s="4" t="s">
        <v>79</v>
      </c>
      <c r="O32" s="4"/>
      <c r="P32" s="4">
        <v>2016</v>
      </c>
      <c r="Q32" s="4"/>
      <c r="R32" s="7">
        <f t="shared" si="6"/>
        <v>4.7</v>
      </c>
      <c r="S32" s="7">
        <f t="shared" ref="S32:S41" si="10">$M$42*$N$9/1000</f>
        <v>63.184035057611858</v>
      </c>
      <c r="T32" s="7">
        <f t="shared" si="7"/>
        <v>61.945132409423387</v>
      </c>
      <c r="U32" s="7">
        <f>U31+T32-R32</f>
        <v>-463.3108325329647</v>
      </c>
      <c r="V32" s="4"/>
      <c r="W32" s="5"/>
      <c r="Y32" s="6">
        <v>32</v>
      </c>
      <c r="Z32" s="7">
        <v>0.36</v>
      </c>
      <c r="AA32" s="6">
        <v>540</v>
      </c>
      <c r="AB32" s="6">
        <v>345</v>
      </c>
      <c r="AC32" s="6">
        <v>238</v>
      </c>
      <c r="AD32" s="6">
        <v>219</v>
      </c>
      <c r="AE32" s="7">
        <v>10</v>
      </c>
    </row>
    <row r="33" spans="1:31" x14ac:dyDescent="0.35">
      <c r="A33" s="29">
        <v>41744</v>
      </c>
      <c r="B33" s="28">
        <v>30</v>
      </c>
      <c r="C33" s="30">
        <v>161.78557564189381</v>
      </c>
      <c r="D33" s="31">
        <v>92.513573693106892</v>
      </c>
      <c r="E33" s="32">
        <f t="shared" si="0"/>
        <v>5.3928525213964607</v>
      </c>
      <c r="F33" s="33">
        <f t="shared" si="8"/>
        <v>12.33514315908092</v>
      </c>
      <c r="G33" s="33">
        <f t="shared" si="1"/>
        <v>0.43719415752595753</v>
      </c>
      <c r="H33" s="33">
        <f t="shared" si="2"/>
        <v>0.81445851703174421</v>
      </c>
      <c r="I33" s="34">
        <v>20</v>
      </c>
      <c r="J33" s="33">
        <f t="shared" si="3"/>
        <v>33.115824725778722</v>
      </c>
      <c r="K33" s="33">
        <f t="shared" si="4"/>
        <v>0.98695101832885135</v>
      </c>
      <c r="L33" s="33">
        <f t="shared" si="5"/>
        <v>0.12057459941566291</v>
      </c>
      <c r="M33" s="35">
        <f t="shared" si="9"/>
        <v>61.122657052661836</v>
      </c>
      <c r="N33" s="4" t="s">
        <v>80</v>
      </c>
      <c r="O33" s="4"/>
      <c r="P33" s="4">
        <v>2017</v>
      </c>
      <c r="Q33" s="4"/>
      <c r="R33" s="7">
        <f t="shared" si="6"/>
        <v>4.7</v>
      </c>
      <c r="S33" s="7">
        <f t="shared" si="10"/>
        <v>63.184035057611858</v>
      </c>
      <c r="T33" s="7">
        <f t="shared" si="7"/>
        <v>60.730521970022934</v>
      </c>
      <c r="U33" s="7">
        <f t="shared" ref="U33:U40" si="11">U32+T33-R33</f>
        <v>-407.28031056294174</v>
      </c>
      <c r="V33" s="4"/>
      <c r="W33" s="5"/>
      <c r="Y33" s="6">
        <v>33</v>
      </c>
      <c r="Z33" s="7">
        <v>0.37</v>
      </c>
      <c r="AA33" s="6">
        <v>538</v>
      </c>
      <c r="AB33" s="6">
        <v>340</v>
      </c>
      <c r="AC33" s="6">
        <v>236</v>
      </c>
      <c r="AD33" s="6">
        <v>218</v>
      </c>
      <c r="AE33" s="7">
        <v>10</v>
      </c>
    </row>
    <row r="34" spans="1:31" x14ac:dyDescent="0.35">
      <c r="A34" s="29">
        <v>41774</v>
      </c>
      <c r="B34" s="28">
        <v>31</v>
      </c>
      <c r="C34" s="30">
        <v>186.70060853089609</v>
      </c>
      <c r="D34" s="31">
        <v>95.163426526124582</v>
      </c>
      <c r="E34" s="32">
        <f t="shared" si="0"/>
        <v>6.0226002751901966</v>
      </c>
      <c r="F34" s="33">
        <f t="shared" si="8"/>
        <v>12.688456870149944</v>
      </c>
      <c r="G34" s="33">
        <f t="shared" si="1"/>
        <v>0.47465190896133186</v>
      </c>
      <c r="H34" s="33">
        <f t="shared" si="2"/>
        <v>0.83518451473531474</v>
      </c>
      <c r="I34" s="34">
        <v>25</v>
      </c>
      <c r="J34" s="33">
        <f t="shared" si="3"/>
        <v>39.23955726883996</v>
      </c>
      <c r="K34" s="33">
        <f t="shared" si="4"/>
        <v>0.97196558563806867</v>
      </c>
      <c r="L34" s="33">
        <f t="shared" si="5"/>
        <v>0.12176559089708344</v>
      </c>
      <c r="M34" s="35">
        <f t="shared" si="9"/>
        <v>71.232291078310141</v>
      </c>
      <c r="N34" s="4" t="s">
        <v>81</v>
      </c>
      <c r="O34" s="4"/>
      <c r="P34" s="4">
        <v>2018</v>
      </c>
      <c r="Q34" s="4"/>
      <c r="R34" s="7">
        <f t="shared" si="6"/>
        <v>4.7</v>
      </c>
      <c r="S34" s="7">
        <f t="shared" si="10"/>
        <v>63.184035057611858</v>
      </c>
      <c r="T34" s="7">
        <f t="shared" si="7"/>
        <v>59.539727421591117</v>
      </c>
      <c r="U34" s="7">
        <f t="shared" si="11"/>
        <v>-352.4405831413506</v>
      </c>
      <c r="V34" s="4"/>
      <c r="W34" s="5"/>
      <c r="Y34" s="6">
        <v>34</v>
      </c>
      <c r="Z34" s="7">
        <v>0.38</v>
      </c>
      <c r="AA34" s="6">
        <v>536</v>
      </c>
      <c r="AB34" s="6">
        <v>335</v>
      </c>
      <c r="AC34" s="6">
        <v>234</v>
      </c>
      <c r="AD34" s="6">
        <v>217</v>
      </c>
      <c r="AE34" s="7">
        <v>10</v>
      </c>
    </row>
    <row r="35" spans="1:31" x14ac:dyDescent="0.35">
      <c r="A35" s="29">
        <v>41805</v>
      </c>
      <c r="B35" s="28">
        <v>30</v>
      </c>
      <c r="C35" s="30">
        <v>184.62957211552958</v>
      </c>
      <c r="D35" s="31">
        <v>96.545066214660167</v>
      </c>
      <c r="E35" s="32">
        <f t="shared" si="0"/>
        <v>6.1543190705176531</v>
      </c>
      <c r="F35" s="33">
        <f t="shared" si="8"/>
        <v>12.872675495288023</v>
      </c>
      <c r="G35" s="33">
        <f t="shared" si="1"/>
        <v>0.47809168131134899</v>
      </c>
      <c r="H35" s="33">
        <f t="shared" si="2"/>
        <v>0.83702505559925089</v>
      </c>
      <c r="I35" s="34">
        <v>28</v>
      </c>
      <c r="J35" s="33">
        <f t="shared" si="3"/>
        <v>42.34275043934047</v>
      </c>
      <c r="K35" s="33">
        <f t="shared" si="4"/>
        <v>0.96379907926529418</v>
      </c>
      <c r="L35" s="33">
        <f t="shared" si="5"/>
        <v>0.12100859668628094</v>
      </c>
      <c r="M35" s="35">
        <f t="shared" si="9"/>
        <v>70.004198342598059</v>
      </c>
      <c r="N35" s="4" t="s">
        <v>82</v>
      </c>
      <c r="O35" s="4"/>
      <c r="P35" s="4">
        <v>2019</v>
      </c>
      <c r="Q35" s="4"/>
      <c r="R35" s="7">
        <f t="shared" si="6"/>
        <v>4.7</v>
      </c>
      <c r="S35" s="7">
        <f t="shared" si="10"/>
        <v>63.184035057611858</v>
      </c>
      <c r="T35" s="7">
        <f t="shared" si="7"/>
        <v>58.372281785873639</v>
      </c>
      <c r="U35" s="7">
        <f t="shared" si="11"/>
        <v>-298.76830135547692</v>
      </c>
      <c r="V35" s="4"/>
      <c r="W35" s="5"/>
      <c r="Y35" s="6">
        <v>35</v>
      </c>
      <c r="Z35" s="7">
        <v>0.39</v>
      </c>
      <c r="AA35" s="6">
        <v>534</v>
      </c>
      <c r="AB35" s="6">
        <v>330</v>
      </c>
      <c r="AC35" s="6">
        <v>232</v>
      </c>
      <c r="AD35" s="6">
        <v>216</v>
      </c>
      <c r="AE35" s="7">
        <v>10</v>
      </c>
    </row>
    <row r="36" spans="1:31" x14ac:dyDescent="0.35">
      <c r="A36" s="29">
        <v>41835</v>
      </c>
      <c r="B36" s="28">
        <v>31</v>
      </c>
      <c r="C36" s="30">
        <v>188.83484408083586</v>
      </c>
      <c r="D36" s="31">
        <v>95.985478054380266</v>
      </c>
      <c r="E36" s="32">
        <f t="shared" si="0"/>
        <v>6.09144658325277</v>
      </c>
      <c r="F36" s="33">
        <f t="shared" si="8"/>
        <v>12.798063740584036</v>
      </c>
      <c r="G36" s="33">
        <f t="shared" si="1"/>
        <v>0.47596626386037899</v>
      </c>
      <c r="H36" s="33">
        <f t="shared" si="2"/>
        <v>0.83588904089335303</v>
      </c>
      <c r="I36" s="34">
        <v>29.5</v>
      </c>
      <c r="J36" s="33">
        <f t="shared" si="3"/>
        <v>43.778987915811371</v>
      </c>
      <c r="K36" s="33">
        <f t="shared" si="4"/>
        <v>0.95988901642553348</v>
      </c>
      <c r="L36" s="33">
        <f t="shared" si="5"/>
        <v>0.12035410639560047</v>
      </c>
      <c r="M36" s="35">
        <f t="shared" si="9"/>
        <v>71.211419935864853</v>
      </c>
      <c r="N36" s="4" t="s">
        <v>83</v>
      </c>
      <c r="O36" s="4"/>
      <c r="P36" s="4">
        <v>2020</v>
      </c>
      <c r="Q36" s="4"/>
      <c r="R36" s="7">
        <f t="shared" si="6"/>
        <v>4.7</v>
      </c>
      <c r="S36" s="7">
        <f t="shared" si="10"/>
        <v>63.184035057611858</v>
      </c>
      <c r="T36" s="7">
        <f t="shared" si="7"/>
        <v>57.227727241052584</v>
      </c>
      <c r="U36" s="7">
        <f t="shared" si="11"/>
        <v>-246.24057411442433</v>
      </c>
      <c r="V36" s="4"/>
      <c r="W36" s="5"/>
      <c r="Y36" s="6">
        <v>36</v>
      </c>
      <c r="Z36" s="7">
        <v>0.4</v>
      </c>
      <c r="AA36" s="6">
        <v>532</v>
      </c>
      <c r="AB36" s="6">
        <v>325</v>
      </c>
      <c r="AC36" s="6">
        <v>230</v>
      </c>
      <c r="AD36" s="6">
        <v>215</v>
      </c>
      <c r="AE36" s="7">
        <v>10</v>
      </c>
    </row>
    <row r="37" spans="1:31" x14ac:dyDescent="0.35">
      <c r="A37" s="29">
        <v>41866</v>
      </c>
      <c r="B37" s="28">
        <v>31</v>
      </c>
      <c r="C37" s="30">
        <v>179.3537068412607</v>
      </c>
      <c r="D37" s="31">
        <v>93.720171700445093</v>
      </c>
      <c r="E37" s="32">
        <f t="shared" si="0"/>
        <v>5.7856034464922805</v>
      </c>
      <c r="F37" s="33">
        <f t="shared" si="8"/>
        <v>12.496022893392679</v>
      </c>
      <c r="G37" s="33">
        <f t="shared" si="1"/>
        <v>0.46299558634383114</v>
      </c>
      <c r="H37" s="33">
        <f t="shared" si="2"/>
        <v>0.82886901170373273</v>
      </c>
      <c r="I37" s="34">
        <v>28</v>
      </c>
      <c r="J37" s="33">
        <f t="shared" si="3"/>
        <v>41.889867590314935</v>
      </c>
      <c r="K37" s="33">
        <f t="shared" si="4"/>
        <v>0.96501491227500269</v>
      </c>
      <c r="L37" s="33">
        <f t="shared" si="5"/>
        <v>0.11998064349251186</v>
      </c>
      <c r="M37" s="35">
        <f t="shared" si="9"/>
        <v>67.426115900022936</v>
      </c>
      <c r="N37" s="4" t="s">
        <v>84</v>
      </c>
      <c r="O37" s="4"/>
      <c r="P37" s="4">
        <v>2021</v>
      </c>
      <c r="Q37" s="4"/>
      <c r="R37" s="7">
        <f t="shared" si="6"/>
        <v>4.7</v>
      </c>
      <c r="S37" s="7">
        <f t="shared" si="10"/>
        <v>63.184035057611858</v>
      </c>
      <c r="T37" s="7">
        <f t="shared" si="7"/>
        <v>56.105614942208412</v>
      </c>
      <c r="U37" s="7">
        <f t="shared" si="11"/>
        <v>-194.83495917221592</v>
      </c>
      <c r="V37" s="4"/>
      <c r="W37" s="5"/>
      <c r="Y37" s="6">
        <v>37</v>
      </c>
      <c r="Z37" s="7">
        <v>0.41</v>
      </c>
      <c r="AA37" s="6">
        <v>530</v>
      </c>
      <c r="AB37" s="6">
        <v>320</v>
      </c>
      <c r="AC37" s="6">
        <v>228</v>
      </c>
      <c r="AD37" s="6">
        <v>214</v>
      </c>
      <c r="AE37" s="7">
        <v>10</v>
      </c>
    </row>
    <row r="38" spans="1:31" x14ac:dyDescent="0.35">
      <c r="A38" s="29">
        <v>41897</v>
      </c>
      <c r="B38" s="28">
        <v>30</v>
      </c>
      <c r="C38" s="30">
        <v>146.47795133424668</v>
      </c>
      <c r="D38" s="31">
        <v>90.586639283415906</v>
      </c>
      <c r="E38" s="32">
        <f t="shared" si="0"/>
        <v>4.8825983778082227</v>
      </c>
      <c r="F38" s="33">
        <f t="shared" si="8"/>
        <v>12.07821857112212</v>
      </c>
      <c r="G38" s="33">
        <f t="shared" si="1"/>
        <v>0.4042482216278197</v>
      </c>
      <c r="H38" s="33">
        <f t="shared" si="2"/>
        <v>0.79519447815129918</v>
      </c>
      <c r="I38" s="34">
        <v>25.5</v>
      </c>
      <c r="J38" s="33">
        <f t="shared" si="3"/>
        <v>37.627446648834592</v>
      </c>
      <c r="K38" s="33">
        <f t="shared" si="4"/>
        <v>0.97605605852494759</v>
      </c>
      <c r="L38" s="33">
        <f t="shared" si="5"/>
        <v>0.11642315821577394</v>
      </c>
      <c r="M38" s="35">
        <f t="shared" si="9"/>
        <v>53.434067203702909</v>
      </c>
      <c r="N38" s="4" t="s">
        <v>85</v>
      </c>
      <c r="O38" s="4"/>
      <c r="P38" s="4">
        <v>2022</v>
      </c>
      <c r="Q38" s="4"/>
      <c r="R38" s="7">
        <f t="shared" si="6"/>
        <v>4.7</v>
      </c>
      <c r="S38" s="7">
        <f t="shared" si="10"/>
        <v>63.184035057611858</v>
      </c>
      <c r="T38" s="7">
        <f t="shared" si="7"/>
        <v>55.005504845302376</v>
      </c>
      <c r="U38" s="7">
        <f t="shared" si="11"/>
        <v>-144.52945432691354</v>
      </c>
      <c r="V38" s="4"/>
      <c r="W38" s="5"/>
      <c r="Y38" s="6">
        <v>38</v>
      </c>
      <c r="Z38" s="7">
        <v>0.42</v>
      </c>
      <c r="AA38" s="6">
        <v>528</v>
      </c>
      <c r="AB38" s="6">
        <v>315</v>
      </c>
      <c r="AC38" s="6">
        <v>226</v>
      </c>
      <c r="AD38" s="6">
        <v>213</v>
      </c>
      <c r="AE38" s="7">
        <v>10</v>
      </c>
    </row>
    <row r="39" spans="1:31" x14ac:dyDescent="0.35">
      <c r="A39" s="29">
        <v>41927</v>
      </c>
      <c r="B39" s="28">
        <v>31</v>
      </c>
      <c r="C39" s="30">
        <v>111.43171084296377</v>
      </c>
      <c r="D39" s="31">
        <v>81.515696119942206</v>
      </c>
      <c r="E39" s="32">
        <f t="shared" si="0"/>
        <v>3.5945713175149603</v>
      </c>
      <c r="F39" s="33">
        <f t="shared" si="8"/>
        <v>10.868759482658961</v>
      </c>
      <c r="G39" s="33">
        <f t="shared" si="1"/>
        <v>0.33072507706606968</v>
      </c>
      <c r="H39" s="33">
        <f t="shared" si="2"/>
        <v>0.74871300581966738</v>
      </c>
      <c r="I39" s="34">
        <v>20</v>
      </c>
      <c r="J39" s="33">
        <f t="shared" si="3"/>
        <v>29.92175231198209</v>
      </c>
      <c r="K39" s="33">
        <f t="shared" si="4"/>
        <v>0.99417202245962588</v>
      </c>
      <c r="L39" s="33">
        <f t="shared" si="5"/>
        <v>0.11165242848563466</v>
      </c>
      <c r="M39" s="35">
        <f t="shared" si="9"/>
        <v>38.983746194567921</v>
      </c>
      <c r="N39" s="4" t="s">
        <v>86</v>
      </c>
      <c r="O39" s="4"/>
      <c r="P39" s="4">
        <v>2023</v>
      </c>
      <c r="Q39" s="4"/>
      <c r="R39" s="7">
        <f t="shared" si="6"/>
        <v>4.7</v>
      </c>
      <c r="S39" s="7">
        <f t="shared" si="10"/>
        <v>63.184035057611858</v>
      </c>
      <c r="T39" s="7">
        <f t="shared" si="7"/>
        <v>53.926965534610169</v>
      </c>
      <c r="U39" s="7">
        <f t="shared" si="11"/>
        <v>-95.302488792303379</v>
      </c>
      <c r="V39" s="4"/>
      <c r="W39" s="5"/>
      <c r="Y39" s="6">
        <v>39</v>
      </c>
      <c r="Z39" s="7">
        <v>0.43</v>
      </c>
      <c r="AA39" s="6">
        <v>526</v>
      </c>
      <c r="AB39" s="6">
        <v>310</v>
      </c>
      <c r="AC39" s="6">
        <v>224</v>
      </c>
      <c r="AD39" s="6">
        <v>212</v>
      </c>
      <c r="AE39" s="7">
        <v>10</v>
      </c>
    </row>
    <row r="40" spans="1:31" x14ac:dyDescent="0.35">
      <c r="A40" s="29">
        <v>41958</v>
      </c>
      <c r="B40" s="28">
        <v>30</v>
      </c>
      <c r="C40" s="30">
        <v>69.981278743976588</v>
      </c>
      <c r="D40" s="31">
        <v>72.368385822380731</v>
      </c>
      <c r="E40" s="32">
        <f t="shared" si="0"/>
        <v>2.3327092914658865</v>
      </c>
      <c r="F40" s="33">
        <f t="shared" si="8"/>
        <v>9.6491181096507646</v>
      </c>
      <c r="G40" s="33">
        <f t="shared" si="1"/>
        <v>0.24175362607830234</v>
      </c>
      <c r="H40" s="33">
        <f t="shared" si="2"/>
        <v>0.68601709322315485</v>
      </c>
      <c r="I40" s="34">
        <v>12.5</v>
      </c>
      <c r="J40" s="33">
        <f t="shared" si="3"/>
        <v>19.752608782349071</v>
      </c>
      <c r="K40" s="33">
        <f t="shared" si="4"/>
        <v>1.0144440801434802</v>
      </c>
      <c r="L40" s="33">
        <f t="shared" si="5"/>
        <v>0.10438889686462011</v>
      </c>
      <c r="M40" s="35">
        <f t="shared" si="9"/>
        <v>22.889841266345506</v>
      </c>
      <c r="N40" s="4" t="s">
        <v>87</v>
      </c>
      <c r="O40" s="4"/>
      <c r="P40" s="4">
        <v>2024</v>
      </c>
      <c r="Q40" s="4"/>
      <c r="R40" s="7">
        <f t="shared" si="6"/>
        <v>4.7</v>
      </c>
      <c r="S40" s="7">
        <f t="shared" si="10"/>
        <v>63.184035057611858</v>
      </c>
      <c r="T40" s="7">
        <f t="shared" si="7"/>
        <v>52.869574053539381</v>
      </c>
      <c r="U40" s="7">
        <f t="shared" si="11"/>
        <v>-47.132914738764001</v>
      </c>
      <c r="V40" s="4"/>
      <c r="W40" s="5"/>
      <c r="Y40" s="6">
        <v>40</v>
      </c>
      <c r="Z40" s="7">
        <v>0.44</v>
      </c>
      <c r="AA40" s="6">
        <v>524</v>
      </c>
      <c r="AB40" s="6">
        <v>305</v>
      </c>
      <c r="AC40" s="6">
        <v>222</v>
      </c>
      <c r="AD40" s="6">
        <v>211</v>
      </c>
      <c r="AE40" s="7">
        <v>10</v>
      </c>
    </row>
    <row r="41" spans="1:31" x14ac:dyDescent="0.35">
      <c r="A41" s="29">
        <v>41988</v>
      </c>
      <c r="B41" s="28">
        <v>31</v>
      </c>
      <c r="C41" s="30">
        <v>50.300886203723209</v>
      </c>
      <c r="D41" s="31">
        <v>67.893366097008339</v>
      </c>
      <c r="E41" s="32">
        <f t="shared" si="0"/>
        <v>1.622609232378168</v>
      </c>
      <c r="F41" s="33">
        <f t="shared" si="8"/>
        <v>9.0524488129344451</v>
      </c>
      <c r="G41" s="33">
        <f t="shared" si="1"/>
        <v>0.17924533636243589</v>
      </c>
      <c r="H41" s="33">
        <f t="shared" si="2"/>
        <v>0.63774603769691196</v>
      </c>
      <c r="I41" s="34">
        <v>3.5</v>
      </c>
      <c r="J41" s="33">
        <f t="shared" si="3"/>
        <v>8.8773600908730756</v>
      </c>
      <c r="K41" s="33">
        <f>(-0.00002)*(J41^2)-0.001*J41+1.042</f>
        <v>1.0315464894654665</v>
      </c>
      <c r="L41" s="33">
        <f t="shared" si="5"/>
        <v>9.8679702953514081E-2</v>
      </c>
      <c r="M41" s="35">
        <f t="shared" si="9"/>
        <v>15.552853061163352</v>
      </c>
      <c r="N41" s="4" t="s">
        <v>88</v>
      </c>
      <c r="O41" s="4"/>
      <c r="P41" s="4">
        <v>2025</v>
      </c>
      <c r="Q41" s="4"/>
      <c r="R41" s="7">
        <f t="shared" si="6"/>
        <v>4.7</v>
      </c>
      <c r="S41" s="7">
        <f t="shared" si="10"/>
        <v>63.184035057611858</v>
      </c>
      <c r="T41" s="7">
        <f t="shared" si="7"/>
        <v>51.8329157387641</v>
      </c>
      <c r="U41" s="13">
        <f>U40+T41-R41</f>
        <v>1.000000099615761E-6</v>
      </c>
      <c r="V41" s="4"/>
      <c r="W41" s="5"/>
      <c r="Y41" s="6">
        <v>41</v>
      </c>
      <c r="Z41" s="7">
        <v>0.45</v>
      </c>
      <c r="AA41" s="6">
        <v>522</v>
      </c>
      <c r="AB41" s="6">
        <v>300</v>
      </c>
      <c r="AC41" s="6">
        <v>220</v>
      </c>
      <c r="AD41" s="6">
        <v>210</v>
      </c>
      <c r="AE41" s="7">
        <v>10</v>
      </c>
    </row>
    <row r="42" spans="1:31" x14ac:dyDescent="0.35">
      <c r="A42" s="4"/>
      <c r="B42" s="4"/>
      <c r="C42" s="47"/>
      <c r="D42" s="48"/>
      <c r="E42" s="28"/>
      <c r="F42" s="28"/>
      <c r="G42" s="28"/>
      <c r="H42" s="28"/>
      <c r="I42" s="47"/>
      <c r="J42" s="28"/>
      <c r="K42" s="28"/>
      <c r="L42" s="28"/>
      <c r="M42" s="36">
        <f>SUM(M30:M41)</f>
        <v>563.74379344388194</v>
      </c>
      <c r="N42" s="2" t="s">
        <v>89</v>
      </c>
      <c r="O42" s="4"/>
      <c r="P42" s="4" t="s">
        <v>74</v>
      </c>
      <c r="Q42" s="4"/>
      <c r="R42" s="4"/>
      <c r="S42" s="4"/>
      <c r="T42" s="4"/>
      <c r="U42" s="4"/>
      <c r="V42" s="4"/>
      <c r="W42" s="5"/>
      <c r="Y42" s="6">
        <v>42</v>
      </c>
      <c r="Z42" s="7">
        <v>0.46</v>
      </c>
      <c r="AA42" s="6">
        <v>520</v>
      </c>
      <c r="AB42" s="6">
        <v>295</v>
      </c>
      <c r="AC42" s="6">
        <v>218</v>
      </c>
      <c r="AD42" s="6">
        <v>209</v>
      </c>
      <c r="AE42" s="7">
        <v>10</v>
      </c>
    </row>
    <row r="43" spans="1:31" x14ac:dyDescent="0.35">
      <c r="A43" s="4"/>
      <c r="B43" s="4"/>
      <c r="C43" s="47"/>
      <c r="D43" s="48"/>
      <c r="E43" s="28"/>
      <c r="F43" s="28"/>
      <c r="G43" s="28"/>
      <c r="H43" s="28"/>
      <c r="I43" s="47"/>
      <c r="J43" s="28"/>
      <c r="K43" s="28"/>
      <c r="L43" s="28"/>
      <c r="M43" s="4"/>
      <c r="N43" s="4"/>
      <c r="O43" s="4"/>
      <c r="P43" s="4"/>
      <c r="Q43" s="4"/>
      <c r="R43" s="4"/>
      <c r="S43" s="4"/>
      <c r="T43" s="4"/>
      <c r="U43" s="4"/>
      <c r="V43" s="4"/>
      <c r="W43" s="5"/>
      <c r="Y43" s="6">
        <v>43</v>
      </c>
      <c r="Z43" s="7">
        <v>0.47</v>
      </c>
      <c r="AA43" s="6">
        <v>518</v>
      </c>
      <c r="AB43" s="6">
        <v>290</v>
      </c>
      <c r="AC43" s="6">
        <v>216</v>
      </c>
      <c r="AD43" s="6">
        <v>208</v>
      </c>
      <c r="AE43" s="7">
        <v>10</v>
      </c>
    </row>
    <row r="44" spans="1:31" x14ac:dyDescent="0.35">
      <c r="A44" s="2" t="s">
        <v>62</v>
      </c>
      <c r="B44" s="4"/>
      <c r="C44" s="47"/>
      <c r="D44" s="48"/>
      <c r="E44" s="37"/>
      <c r="F44" s="28"/>
      <c r="G44" s="28"/>
      <c r="H44" s="28"/>
      <c r="I44" s="47"/>
      <c r="J44" s="28"/>
      <c r="K44" s="28"/>
      <c r="L44" s="28"/>
      <c r="M44" s="4"/>
      <c r="N44" s="4"/>
      <c r="O44" s="4"/>
      <c r="P44" s="4"/>
      <c r="Q44" s="4"/>
      <c r="R44" s="4"/>
      <c r="S44" s="4"/>
      <c r="T44" s="4" t="s">
        <v>69</v>
      </c>
      <c r="U44" s="4"/>
      <c r="V44" s="4"/>
      <c r="W44" s="5"/>
      <c r="Y44" s="6">
        <v>44</v>
      </c>
      <c r="Z44" s="7">
        <v>0.48</v>
      </c>
      <c r="AA44" s="6">
        <v>516</v>
      </c>
      <c r="AB44" s="6">
        <v>285</v>
      </c>
      <c r="AC44" s="6">
        <v>214</v>
      </c>
      <c r="AD44" s="6">
        <v>207</v>
      </c>
      <c r="AE44" s="7">
        <v>10</v>
      </c>
    </row>
    <row r="45" spans="1:31" x14ac:dyDescent="0.35">
      <c r="A45" s="4"/>
      <c r="B45" s="27" t="s">
        <v>0</v>
      </c>
      <c r="C45" s="46" t="s">
        <v>46</v>
      </c>
      <c r="D45" s="48"/>
      <c r="E45" s="28" t="s">
        <v>12</v>
      </c>
      <c r="F45" s="28"/>
      <c r="G45" s="28" t="s">
        <v>5</v>
      </c>
      <c r="H45" s="28" t="s">
        <v>6</v>
      </c>
      <c r="I45" s="47"/>
      <c r="J45" s="28" t="s">
        <v>8</v>
      </c>
      <c r="K45" s="28" t="s">
        <v>9</v>
      </c>
      <c r="L45" s="28" t="s">
        <v>10</v>
      </c>
      <c r="M45" s="2" t="s">
        <v>11</v>
      </c>
      <c r="N45" s="4"/>
      <c r="O45" s="4"/>
      <c r="P45" s="4"/>
      <c r="Q45" s="4" t="s">
        <v>66</v>
      </c>
      <c r="R45" s="4" t="s">
        <v>65</v>
      </c>
      <c r="S45" s="4" t="s">
        <v>65</v>
      </c>
      <c r="T45" s="4" t="s">
        <v>70</v>
      </c>
      <c r="U45" s="4" t="s">
        <v>72</v>
      </c>
      <c r="V45" s="4"/>
      <c r="W45" s="5"/>
      <c r="Y45" s="6">
        <v>45</v>
      </c>
      <c r="Z45" s="7">
        <v>0.49</v>
      </c>
      <c r="AA45" s="6">
        <v>514</v>
      </c>
      <c r="AB45" s="6">
        <v>280</v>
      </c>
      <c r="AC45" s="6">
        <v>212</v>
      </c>
      <c r="AD45" s="6">
        <v>206</v>
      </c>
      <c r="AE45" s="7">
        <v>10</v>
      </c>
    </row>
    <row r="46" spans="1:31" x14ac:dyDescent="0.35">
      <c r="A46" s="29">
        <v>41654</v>
      </c>
      <c r="B46" s="28">
        <v>31</v>
      </c>
      <c r="C46" s="30">
        <v>61.26981664299479</v>
      </c>
      <c r="D46" s="48"/>
      <c r="E46" s="32">
        <f t="shared" ref="E46:E57" si="12">C46/B46</f>
        <v>1.9764456981611223</v>
      </c>
      <c r="F46" s="33">
        <f>F30</f>
        <v>9.3531460505257904</v>
      </c>
      <c r="G46" s="33">
        <f t="shared" ref="G46:G57" si="13">E46/F30</f>
        <v>0.21131346474056348</v>
      </c>
      <c r="H46" s="33">
        <f>(-0.446)*(G46^2)+0.96*G46+0.48</f>
        <v>0.6629455185011659</v>
      </c>
      <c r="I46" s="34">
        <v>2</v>
      </c>
      <c r="J46" s="33">
        <f t="shared" ref="J46:J57" si="14">I30+0.03*G46*1000</f>
        <v>8.3394039422169044</v>
      </c>
      <c r="K46" s="33">
        <f>(-0.00002)*(J46^2)-0.001*J46+1.042</f>
        <v>1.032269682895554</v>
      </c>
      <c r="L46" s="33">
        <f t="shared" ref="L46:L57" si="15">(B$25/100)*H46*K46</f>
        <v>0.10265078402403406</v>
      </c>
      <c r="M46" s="35">
        <f>$B$24*C46*L46/1000</f>
        <v>19.706770108291643</v>
      </c>
      <c r="N46" s="4" t="s">
        <v>77</v>
      </c>
      <c r="O46" s="4"/>
      <c r="P46" s="4" t="s">
        <v>34</v>
      </c>
      <c r="Q46" s="4" t="s">
        <v>64</v>
      </c>
      <c r="R46" s="4" t="s">
        <v>67</v>
      </c>
      <c r="S46" s="4" t="s">
        <v>68</v>
      </c>
      <c r="T46" s="4" t="s">
        <v>71</v>
      </c>
      <c r="U46" s="4" t="s">
        <v>73</v>
      </c>
      <c r="V46" s="4"/>
      <c r="W46" s="5"/>
      <c r="Y46" s="6">
        <v>46</v>
      </c>
      <c r="Z46" s="7">
        <v>0.5</v>
      </c>
      <c r="AA46" s="6">
        <v>512</v>
      </c>
      <c r="AB46" s="6">
        <v>275</v>
      </c>
      <c r="AC46" s="6">
        <v>210</v>
      </c>
      <c r="AD46" s="6">
        <v>205</v>
      </c>
      <c r="AE46" s="7">
        <v>10</v>
      </c>
    </row>
    <row r="47" spans="1:31" x14ac:dyDescent="0.35">
      <c r="A47" s="29">
        <v>41684</v>
      </c>
      <c r="B47" s="28">
        <v>28</v>
      </c>
      <c r="C47" s="30">
        <v>83.012718634576956</v>
      </c>
      <c r="D47" s="48"/>
      <c r="E47" s="32">
        <f t="shared" si="12"/>
        <v>2.9647399512348911</v>
      </c>
      <c r="F47" s="33">
        <f t="shared" ref="F47:F57" si="16">F31</f>
        <v>10.373029852541235</v>
      </c>
      <c r="G47" s="33">
        <f t="shared" si="13"/>
        <v>0.2858123415608001</v>
      </c>
      <c r="H47" s="33">
        <f t="shared" ref="H47:H57" si="17">(-0.446)*(G47^2)+0.96*G47+0.48</f>
        <v>0.71794669011191159</v>
      </c>
      <c r="I47" s="34">
        <v>7.5</v>
      </c>
      <c r="J47" s="33">
        <f t="shared" si="14"/>
        <v>16.074370246824003</v>
      </c>
      <c r="K47" s="33">
        <f t="shared" ref="K47:K56" si="18">(-0.00002)*(J47^2)-0.001*J47+1.042</f>
        <v>1.0207579221765364</v>
      </c>
      <c r="L47" s="33">
        <f t="shared" si="15"/>
        <v>0.10992746574482347</v>
      </c>
      <c r="M47" s="35">
        <f t="shared" ref="M47:M57" si="19">$B$24*C47*L47/1000</f>
        <v>28.59285039013967</v>
      </c>
      <c r="N47" s="4" t="s">
        <v>78</v>
      </c>
      <c r="O47" s="4"/>
      <c r="P47" s="4">
        <v>2015</v>
      </c>
      <c r="Q47" s="7">
        <f>(B13*1000)*SUM(C16:C19)/1000</f>
        <v>622.37399999999991</v>
      </c>
      <c r="R47" s="7">
        <f t="shared" ref="R47:R57" si="20">($B$13*1000)*$C$20/1000</f>
        <v>7.05</v>
      </c>
      <c r="S47" s="7">
        <f t="shared" ref="S47:S57" si="21">$M$58*$N$10/1000</f>
        <v>70.114504365585532</v>
      </c>
      <c r="T47" s="7">
        <f t="shared" ref="T47:T57" si="22">S47/((1+$B$12/100)^(P47-$P$31))</f>
        <v>70.114504365585532</v>
      </c>
      <c r="U47" s="13">
        <f>T47-R47-Q47</f>
        <v>-559.30949563441436</v>
      </c>
      <c r="V47" s="4"/>
      <c r="W47" s="5"/>
      <c r="Y47" s="6">
        <v>47</v>
      </c>
      <c r="Z47" s="7">
        <v>0.51</v>
      </c>
      <c r="AA47" s="6">
        <v>510</v>
      </c>
      <c r="AB47" s="6">
        <v>270</v>
      </c>
      <c r="AC47" s="6">
        <v>208</v>
      </c>
      <c r="AD47" s="6">
        <v>204</v>
      </c>
      <c r="AE47" s="7">
        <v>10</v>
      </c>
    </row>
    <row r="48" spans="1:31" x14ac:dyDescent="0.35">
      <c r="A48" s="29">
        <v>41713</v>
      </c>
      <c r="B48" s="28">
        <v>31</v>
      </c>
      <c r="C48" s="30">
        <v>132.27897202541376</v>
      </c>
      <c r="D48" s="48"/>
      <c r="E48" s="32">
        <f t="shared" si="12"/>
        <v>4.2670636137230247</v>
      </c>
      <c r="F48" s="33">
        <f t="shared" si="16"/>
        <v>11.671758937212665</v>
      </c>
      <c r="G48" s="33">
        <f t="shared" si="13"/>
        <v>0.36558873745400045</v>
      </c>
      <c r="H48" s="33">
        <f t="shared" si="17"/>
        <v>0.77135500222670872</v>
      </c>
      <c r="I48" s="34">
        <v>13.5</v>
      </c>
      <c r="J48" s="33">
        <f t="shared" si="14"/>
        <v>24.467662123620013</v>
      </c>
      <c r="K48" s="33">
        <f t="shared" si="18"/>
        <v>1.0055590080804675</v>
      </c>
      <c r="L48" s="33">
        <f t="shared" si="15"/>
        <v>0.11634644563754939</v>
      </c>
      <c r="M48" s="35">
        <f t="shared" si="19"/>
        <v>48.222589780269928</v>
      </c>
      <c r="N48" s="4" t="s">
        <v>79</v>
      </c>
      <c r="O48" s="4"/>
      <c r="P48" s="4">
        <v>2016</v>
      </c>
      <c r="Q48" s="4"/>
      <c r="R48" s="7">
        <f t="shared" si="20"/>
        <v>7.05</v>
      </c>
      <c r="S48" s="7">
        <f t="shared" si="21"/>
        <v>70.114504365585532</v>
      </c>
      <c r="T48" s="7">
        <f t="shared" si="22"/>
        <v>68.739710162338753</v>
      </c>
      <c r="U48" s="13">
        <f>U47+T48-R48</f>
        <v>-497.61978547207565</v>
      </c>
      <c r="V48" s="4"/>
      <c r="W48" s="5"/>
      <c r="Y48" s="6">
        <v>48</v>
      </c>
      <c r="Z48" s="7">
        <v>0.52</v>
      </c>
      <c r="AA48" s="6">
        <v>508</v>
      </c>
      <c r="AB48" s="6">
        <v>265</v>
      </c>
      <c r="AC48" s="6">
        <v>206</v>
      </c>
      <c r="AD48" s="6">
        <v>203</v>
      </c>
      <c r="AE48" s="7">
        <v>10</v>
      </c>
    </row>
    <row r="49" spans="1:31" x14ac:dyDescent="0.35">
      <c r="A49" s="29">
        <v>41744</v>
      </c>
      <c r="B49" s="28">
        <v>30</v>
      </c>
      <c r="C49" s="30">
        <v>162.18815772020434</v>
      </c>
      <c r="D49" s="48"/>
      <c r="E49" s="32">
        <f t="shared" si="12"/>
        <v>5.4062719240068118</v>
      </c>
      <c r="F49" s="33">
        <f t="shared" si="16"/>
        <v>12.33514315908092</v>
      </c>
      <c r="G49" s="33">
        <f t="shared" si="13"/>
        <v>0.4382820575557575</v>
      </c>
      <c r="H49" s="33">
        <f t="shared" si="17"/>
        <v>0.81507811701253963</v>
      </c>
      <c r="I49" s="34">
        <v>20</v>
      </c>
      <c r="J49" s="33">
        <f t="shared" si="14"/>
        <v>33.148461726672721</v>
      </c>
      <c r="K49" s="33">
        <f t="shared" si="18"/>
        <v>0.98687512797643362</v>
      </c>
      <c r="L49" s="33">
        <f t="shared" si="15"/>
        <v>0.12065704815563108</v>
      </c>
      <c r="M49" s="35">
        <f t="shared" si="19"/>
        <v>61.316652316468655</v>
      </c>
      <c r="N49" s="4" t="s">
        <v>80</v>
      </c>
      <c r="O49" s="4"/>
      <c r="P49" s="4">
        <v>2017</v>
      </c>
      <c r="Q49" s="4"/>
      <c r="R49" s="7">
        <f t="shared" si="20"/>
        <v>7.05</v>
      </c>
      <c r="S49" s="7">
        <f t="shared" si="21"/>
        <v>70.114504365585532</v>
      </c>
      <c r="T49" s="7">
        <f t="shared" si="22"/>
        <v>67.391872708175256</v>
      </c>
      <c r="U49" s="13">
        <f t="shared" ref="U49:U56" si="23">U48+T49-R49</f>
        <v>-437.27791276390042</v>
      </c>
      <c r="V49" s="4"/>
      <c r="W49" s="5"/>
      <c r="Y49" s="6">
        <v>49</v>
      </c>
      <c r="Z49" s="7">
        <v>0.53</v>
      </c>
      <c r="AA49" s="6">
        <v>506</v>
      </c>
      <c r="AB49" s="6">
        <v>260</v>
      </c>
      <c r="AC49" s="6">
        <v>204</v>
      </c>
      <c r="AD49" s="6">
        <v>202</v>
      </c>
      <c r="AE49" s="7">
        <v>10</v>
      </c>
    </row>
    <row r="50" spans="1:31" x14ac:dyDescent="0.35">
      <c r="A50" s="29">
        <v>41774</v>
      </c>
      <c r="B50" s="28">
        <v>31</v>
      </c>
      <c r="C50" s="30">
        <v>192.85369062640146</v>
      </c>
      <c r="D50" s="48"/>
      <c r="E50" s="32">
        <f t="shared" si="12"/>
        <v>6.2210867944000467</v>
      </c>
      <c r="F50" s="33">
        <f t="shared" si="16"/>
        <v>12.688456870149944</v>
      </c>
      <c r="G50" s="33">
        <f t="shared" si="13"/>
        <v>0.49029498685812456</v>
      </c>
      <c r="H50" s="33">
        <f t="shared" si="17"/>
        <v>0.84346961571815848</v>
      </c>
      <c r="I50" s="34">
        <v>25</v>
      </c>
      <c r="J50" s="33">
        <f t="shared" si="14"/>
        <v>39.708849605743737</v>
      </c>
      <c r="K50" s="33">
        <f t="shared" si="18"/>
        <v>0.97075529565402485</v>
      </c>
      <c r="L50" s="33">
        <f t="shared" si="15"/>
        <v>0.12282038942725015</v>
      </c>
      <c r="M50" s="35">
        <f t="shared" si="19"/>
        <v>74.217278207013422</v>
      </c>
      <c r="N50" s="4" t="s">
        <v>81</v>
      </c>
      <c r="O50" s="4"/>
      <c r="P50" s="4">
        <v>2018</v>
      </c>
      <c r="Q50" s="4"/>
      <c r="R50" s="7">
        <f t="shared" si="20"/>
        <v>7.05</v>
      </c>
      <c r="S50" s="7">
        <f t="shared" si="21"/>
        <v>70.114504365585532</v>
      </c>
      <c r="T50" s="7">
        <f t="shared" si="22"/>
        <v>66.07046343938751</v>
      </c>
      <c r="U50" s="13">
        <f t="shared" si="23"/>
        <v>-378.25744932451295</v>
      </c>
      <c r="V50" s="4"/>
      <c r="W50" s="5"/>
      <c r="Y50" s="6">
        <v>50</v>
      </c>
      <c r="Z50" s="7">
        <v>0.54</v>
      </c>
      <c r="AA50" s="6">
        <v>504</v>
      </c>
      <c r="AB50" s="6">
        <v>255</v>
      </c>
      <c r="AC50" s="6">
        <v>202</v>
      </c>
      <c r="AD50" s="6">
        <v>201</v>
      </c>
      <c r="AE50" s="7">
        <v>10</v>
      </c>
    </row>
    <row r="51" spans="1:31" x14ac:dyDescent="0.35">
      <c r="A51" s="29">
        <v>41805</v>
      </c>
      <c r="B51" s="28">
        <v>30</v>
      </c>
      <c r="C51" s="30">
        <v>196.93394143456342</v>
      </c>
      <c r="D51" s="48"/>
      <c r="E51" s="32">
        <f t="shared" si="12"/>
        <v>6.5644647144854478</v>
      </c>
      <c r="F51" s="33">
        <f t="shared" si="16"/>
        <v>12.872675495288023</v>
      </c>
      <c r="G51" s="33">
        <f t="shared" si="13"/>
        <v>0.50995340610336493</v>
      </c>
      <c r="H51" s="33">
        <f t="shared" si="17"/>
        <v>0.85357186538642549</v>
      </c>
      <c r="I51" s="34">
        <v>28</v>
      </c>
      <c r="J51" s="33">
        <f t="shared" si="14"/>
        <v>43.298602183100947</v>
      </c>
      <c r="K51" s="33">
        <f t="shared" si="18"/>
        <v>0.96120601879669043</v>
      </c>
      <c r="L51" s="33">
        <f t="shared" si="15"/>
        <v>0.1230687621727426</v>
      </c>
      <c r="M51" s="35">
        <f t="shared" si="19"/>
        <v>75.940771393406791</v>
      </c>
      <c r="N51" s="4" t="s">
        <v>82</v>
      </c>
      <c r="O51" s="4"/>
      <c r="P51" s="4">
        <v>2019</v>
      </c>
      <c r="Q51" s="4"/>
      <c r="R51" s="7">
        <f t="shared" si="20"/>
        <v>7.05</v>
      </c>
      <c r="S51" s="7">
        <f t="shared" si="21"/>
        <v>70.114504365585532</v>
      </c>
      <c r="T51" s="7">
        <f t="shared" si="22"/>
        <v>64.774964156262257</v>
      </c>
      <c r="U51" s="13">
        <f t="shared" si="23"/>
        <v>-320.53248516825073</v>
      </c>
      <c r="V51" s="4"/>
      <c r="W51" s="5"/>
      <c r="Y51" s="6">
        <v>51</v>
      </c>
      <c r="Z51" s="7">
        <v>0.55000000000000004</v>
      </c>
      <c r="AA51" s="6">
        <v>502</v>
      </c>
      <c r="AB51" s="6">
        <v>250</v>
      </c>
      <c r="AC51" s="6">
        <v>200</v>
      </c>
      <c r="AD51" s="6">
        <v>200</v>
      </c>
      <c r="AE51" s="7">
        <v>10</v>
      </c>
    </row>
    <row r="52" spans="1:31" x14ac:dyDescent="0.35">
      <c r="A52" s="29">
        <v>41835</v>
      </c>
      <c r="B52" s="28">
        <v>31</v>
      </c>
      <c r="C52" s="30">
        <v>198.5465164958722</v>
      </c>
      <c r="D52" s="48"/>
      <c r="E52" s="32">
        <f t="shared" si="12"/>
        <v>6.4047263385765225</v>
      </c>
      <c r="F52" s="33">
        <f t="shared" si="16"/>
        <v>12.798063740584036</v>
      </c>
      <c r="G52" s="33">
        <f t="shared" si="13"/>
        <v>0.50044494764207548</v>
      </c>
      <c r="H52" s="33">
        <f t="shared" si="17"/>
        <v>0.84872861478965844</v>
      </c>
      <c r="I52" s="34">
        <v>29.5</v>
      </c>
      <c r="J52" s="33">
        <f t="shared" si="14"/>
        <v>44.513348429262265</v>
      </c>
      <c r="K52" s="33">
        <f t="shared" si="18"/>
        <v>0.95785788780303971</v>
      </c>
      <c r="L52" s="33">
        <f t="shared" si="15"/>
        <v>0.12194420974206328</v>
      </c>
      <c r="M52" s="35">
        <f t="shared" si="19"/>
        <v>75.863007226869826</v>
      </c>
      <c r="N52" s="4" t="s">
        <v>83</v>
      </c>
      <c r="O52" s="4"/>
      <c r="P52" s="4">
        <v>2020</v>
      </c>
      <c r="Q52" s="4"/>
      <c r="R52" s="7">
        <f t="shared" si="20"/>
        <v>7.05</v>
      </c>
      <c r="S52" s="7">
        <f t="shared" si="21"/>
        <v>70.114504365585532</v>
      </c>
      <c r="T52" s="7">
        <f t="shared" si="22"/>
        <v>63.504866819864958</v>
      </c>
      <c r="U52" s="13">
        <f t="shared" si="23"/>
        <v>-264.07761834838578</v>
      </c>
      <c r="V52" s="4"/>
      <c r="W52" s="5"/>
      <c r="Y52" s="6">
        <v>52</v>
      </c>
      <c r="Z52" s="7">
        <v>0.56000000000000005</v>
      </c>
      <c r="AA52" s="6">
        <v>500</v>
      </c>
      <c r="AB52" s="6">
        <v>245</v>
      </c>
      <c r="AC52" s="6">
        <v>198</v>
      </c>
      <c r="AD52" s="6">
        <v>199</v>
      </c>
      <c r="AE52" s="7">
        <v>10</v>
      </c>
    </row>
    <row r="53" spans="1:31" x14ac:dyDescent="0.35">
      <c r="A53" s="29">
        <v>41866</v>
      </c>
      <c r="B53" s="28">
        <v>31</v>
      </c>
      <c r="C53" s="30">
        <v>181.10098540818439</v>
      </c>
      <c r="D53" s="48"/>
      <c r="E53" s="32">
        <f t="shared" si="12"/>
        <v>5.8419672712317547</v>
      </c>
      <c r="F53" s="33">
        <f t="shared" si="16"/>
        <v>12.496022893392679</v>
      </c>
      <c r="G53" s="33">
        <f t="shared" si="13"/>
        <v>0.46750612743521125</v>
      </c>
      <c r="H53" s="33">
        <f t="shared" si="17"/>
        <v>0.83132723961930011</v>
      </c>
      <c r="I53" s="34">
        <v>28</v>
      </c>
      <c r="J53" s="33">
        <f t="shared" si="14"/>
        <v>42.025183823056338</v>
      </c>
      <c r="K53" s="33">
        <f t="shared" si="18"/>
        <v>0.96465249466971015</v>
      </c>
      <c r="L53" s="33">
        <f t="shared" si="15"/>
        <v>0.12029128433784626</v>
      </c>
      <c r="M53" s="35">
        <f t="shared" si="19"/>
        <v>68.259259739413508</v>
      </c>
      <c r="N53" s="4" t="s">
        <v>84</v>
      </c>
      <c r="O53" s="4"/>
      <c r="P53" s="4">
        <v>2021</v>
      </c>
      <c r="Q53" s="4"/>
      <c r="R53" s="7">
        <f t="shared" si="20"/>
        <v>7.05</v>
      </c>
      <c r="S53" s="7">
        <f t="shared" si="21"/>
        <v>70.114504365585532</v>
      </c>
      <c r="T53" s="7">
        <f t="shared" si="22"/>
        <v>62.259673352808775</v>
      </c>
      <c r="U53" s="13">
        <f t="shared" si="23"/>
        <v>-208.86794499557703</v>
      </c>
      <c r="V53" s="4"/>
      <c r="W53" s="5"/>
      <c r="Y53" s="6">
        <v>53</v>
      </c>
      <c r="Z53" s="7">
        <v>0.56999999999999995</v>
      </c>
      <c r="AA53" s="6">
        <v>498</v>
      </c>
      <c r="AB53" s="6">
        <v>240</v>
      </c>
      <c r="AC53" s="6">
        <v>196</v>
      </c>
      <c r="AD53" s="6">
        <v>198</v>
      </c>
      <c r="AE53" s="7">
        <v>10</v>
      </c>
    </row>
    <row r="54" spans="1:31" x14ac:dyDescent="0.35">
      <c r="A54" s="29">
        <v>41897</v>
      </c>
      <c r="B54" s="28">
        <v>30</v>
      </c>
      <c r="C54" s="30">
        <v>147.43023110349313</v>
      </c>
      <c r="D54" s="48"/>
      <c r="E54" s="32">
        <f t="shared" si="12"/>
        <v>4.914341036783104</v>
      </c>
      <c r="F54" s="33">
        <f t="shared" si="16"/>
        <v>12.07821857112212</v>
      </c>
      <c r="G54" s="33">
        <f t="shared" si="13"/>
        <v>0.40687631274804292</v>
      </c>
      <c r="H54" s="33">
        <f t="shared" si="17"/>
        <v>0.79676670332967348</v>
      </c>
      <c r="I54" s="34">
        <v>25.5</v>
      </c>
      <c r="J54" s="33">
        <f t="shared" si="14"/>
        <v>37.706289382441284</v>
      </c>
      <c r="K54" s="33">
        <f t="shared" si="18"/>
        <v>0.97585842543771062</v>
      </c>
      <c r="L54" s="33">
        <f t="shared" si="15"/>
        <v>0.1166297250828736</v>
      </c>
      <c r="M54" s="35">
        <f t="shared" si="19"/>
        <v>53.876874943848762</v>
      </c>
      <c r="N54" s="4" t="s">
        <v>85</v>
      </c>
      <c r="O54" s="4"/>
      <c r="P54" s="4">
        <v>2022</v>
      </c>
      <c r="Q54" s="4"/>
      <c r="R54" s="7">
        <f t="shared" si="20"/>
        <v>7.05</v>
      </c>
      <c r="S54" s="7">
        <f t="shared" si="21"/>
        <v>70.114504365585532</v>
      </c>
      <c r="T54" s="7">
        <f t="shared" si="22"/>
        <v>61.038895443930187</v>
      </c>
      <c r="U54" s="13">
        <f t="shared" si="23"/>
        <v>-154.87904955164686</v>
      </c>
      <c r="V54" s="4"/>
      <c r="W54" s="5"/>
      <c r="Y54" s="6">
        <v>54</v>
      </c>
      <c r="Z54" s="7">
        <v>0.57999999999999996</v>
      </c>
      <c r="AA54" s="6">
        <v>496</v>
      </c>
      <c r="AB54" s="6">
        <v>235</v>
      </c>
      <c r="AC54" s="6">
        <v>194</v>
      </c>
      <c r="AD54" s="6">
        <v>197</v>
      </c>
      <c r="AE54" s="7">
        <v>10</v>
      </c>
    </row>
    <row r="55" spans="1:31" x14ac:dyDescent="0.35">
      <c r="A55" s="29">
        <v>41927</v>
      </c>
      <c r="B55" s="28">
        <v>31</v>
      </c>
      <c r="C55" s="30">
        <v>118.86611908690499</v>
      </c>
      <c r="D55" s="48"/>
      <c r="E55" s="32">
        <f t="shared" si="12"/>
        <v>3.8343909382872576</v>
      </c>
      <c r="F55" s="33">
        <f t="shared" si="16"/>
        <v>10.868759482658961</v>
      </c>
      <c r="G55" s="33">
        <f t="shared" si="13"/>
        <v>0.35279011780553293</v>
      </c>
      <c r="H55" s="33">
        <f t="shared" si="17"/>
        <v>0.76316896631263775</v>
      </c>
      <c r="I55" s="34">
        <v>20</v>
      </c>
      <c r="J55" s="33">
        <f t="shared" si="14"/>
        <v>30.583703534165988</v>
      </c>
      <c r="K55" s="33">
        <f t="shared" si="18"/>
        <v>0.99270903802851895</v>
      </c>
      <c r="L55" s="33">
        <f t="shared" si="15"/>
        <v>0.11364070956021566</v>
      </c>
      <c r="M55" s="35">
        <f t="shared" si="19"/>
        <v>42.325161029208928</v>
      </c>
      <c r="N55" s="4" t="s">
        <v>86</v>
      </c>
      <c r="O55" s="4"/>
      <c r="P55" s="4">
        <v>2023</v>
      </c>
      <c r="Q55" s="4"/>
      <c r="R55" s="7">
        <f t="shared" si="20"/>
        <v>7.05</v>
      </c>
      <c r="S55" s="7">
        <f t="shared" si="21"/>
        <v>70.114504365585532</v>
      </c>
      <c r="T55" s="7">
        <f t="shared" si="22"/>
        <v>59.842054356794293</v>
      </c>
      <c r="U55" s="13">
        <f t="shared" si="23"/>
        <v>-102.08699519485256</v>
      </c>
      <c r="V55" s="4"/>
      <c r="W55" s="5"/>
      <c r="Y55" s="6">
        <v>55</v>
      </c>
      <c r="Z55" s="7">
        <v>0.59</v>
      </c>
      <c r="AA55" s="6">
        <v>494</v>
      </c>
      <c r="AB55" s="6">
        <v>230</v>
      </c>
      <c r="AC55" s="6">
        <v>192</v>
      </c>
      <c r="AD55" s="6">
        <v>196</v>
      </c>
      <c r="AE55" s="7">
        <v>10</v>
      </c>
    </row>
    <row r="56" spans="1:31" x14ac:dyDescent="0.35">
      <c r="A56" s="29">
        <v>41958</v>
      </c>
      <c r="B56" s="28">
        <v>30</v>
      </c>
      <c r="C56" s="30">
        <v>80.055621511169392</v>
      </c>
      <c r="D56" s="48"/>
      <c r="E56" s="32">
        <f t="shared" si="12"/>
        <v>2.6685207170389798</v>
      </c>
      <c r="F56" s="33">
        <f t="shared" si="16"/>
        <v>9.6491181096507646</v>
      </c>
      <c r="G56" s="33">
        <f t="shared" si="13"/>
        <v>0.27655591803462365</v>
      </c>
      <c r="H56" s="33">
        <f t="shared" si="17"/>
        <v>0.71138218490645055</v>
      </c>
      <c r="I56" s="34">
        <v>12.5</v>
      </c>
      <c r="J56" s="33">
        <f t="shared" si="14"/>
        <v>20.796677541038711</v>
      </c>
      <c r="K56" s="33">
        <f t="shared" si="18"/>
        <v>1.0125532865240425</v>
      </c>
      <c r="L56" s="33">
        <f t="shared" si="15"/>
        <v>0.10804685539525209</v>
      </c>
      <c r="M56" s="35">
        <f t="shared" si="19"/>
        <v>27.102575571115636</v>
      </c>
      <c r="N56" s="4" t="s">
        <v>87</v>
      </c>
      <c r="O56" s="4"/>
      <c r="P56" s="4">
        <v>2024</v>
      </c>
      <c r="Q56" s="4"/>
      <c r="R56" s="7">
        <f t="shared" si="20"/>
        <v>7.05</v>
      </c>
      <c r="S56" s="7">
        <f t="shared" si="21"/>
        <v>70.114504365585532</v>
      </c>
      <c r="T56" s="7">
        <f t="shared" si="22"/>
        <v>58.668680741955193</v>
      </c>
      <c r="U56" s="13">
        <f t="shared" si="23"/>
        <v>-50.468314452897367</v>
      </c>
      <c r="V56" s="4"/>
      <c r="W56" s="5"/>
      <c r="Y56" s="6">
        <v>56</v>
      </c>
      <c r="Z56" s="7">
        <v>0.6</v>
      </c>
      <c r="AA56" s="6">
        <v>492</v>
      </c>
      <c r="AB56" s="6">
        <v>225</v>
      </c>
      <c r="AC56" s="6">
        <v>190</v>
      </c>
      <c r="AD56" s="6">
        <v>195</v>
      </c>
      <c r="AE56" s="7">
        <v>10</v>
      </c>
    </row>
    <row r="57" spans="1:31" x14ac:dyDescent="0.35">
      <c r="A57" s="29">
        <v>41988</v>
      </c>
      <c r="B57" s="28">
        <v>31</v>
      </c>
      <c r="C57" s="30">
        <v>57.894403309155308</v>
      </c>
      <c r="D57" s="48"/>
      <c r="E57" s="32">
        <f t="shared" si="12"/>
        <v>1.8675613970695262</v>
      </c>
      <c r="F57" s="33">
        <f t="shared" si="16"/>
        <v>9.0524488129344451</v>
      </c>
      <c r="G57" s="33">
        <f t="shared" si="13"/>
        <v>0.206304552023657</v>
      </c>
      <c r="H57" s="33">
        <f t="shared" si="17"/>
        <v>0.65906991053189667</v>
      </c>
      <c r="I57" s="34">
        <v>3.5</v>
      </c>
      <c r="J57" s="33">
        <f t="shared" si="14"/>
        <v>9.6891365607097093</v>
      </c>
      <c r="K57" s="33">
        <f>(-0.00002)*(J57^2)-0.001*J57+1.042</f>
        <v>1.0304332760934487</v>
      </c>
      <c r="L57" s="33">
        <f t="shared" si="15"/>
        <v>0.10186913506259976</v>
      </c>
      <c r="M57" s="35">
        <f t="shared" si="19"/>
        <v>18.479312075549423</v>
      </c>
      <c r="N57" s="4" t="s">
        <v>88</v>
      </c>
      <c r="O57" s="4"/>
      <c r="P57" s="4">
        <v>2025</v>
      </c>
      <c r="Q57" s="4"/>
      <c r="R57" s="7">
        <f t="shared" si="20"/>
        <v>7.05</v>
      </c>
      <c r="S57" s="7">
        <f t="shared" si="21"/>
        <v>70.114504365585532</v>
      </c>
      <c r="T57" s="7">
        <f t="shared" si="22"/>
        <v>57.518314452897243</v>
      </c>
      <c r="U57" s="13">
        <f>U56+T57-R57</f>
        <v>-1.2345680033831741E-13</v>
      </c>
      <c r="V57" s="4"/>
      <c r="W57" s="5"/>
      <c r="Y57" s="6">
        <v>57</v>
      </c>
      <c r="Z57" s="7">
        <v>0.61</v>
      </c>
      <c r="AA57" s="6">
        <v>490</v>
      </c>
      <c r="AB57" s="6">
        <v>220</v>
      </c>
      <c r="AC57" s="6">
        <v>188</v>
      </c>
      <c r="AD57" s="6">
        <v>194</v>
      </c>
      <c r="AE57" s="7">
        <v>10</v>
      </c>
    </row>
    <row r="58" spans="1:31" x14ac:dyDescent="0.35">
      <c r="A58" s="4"/>
      <c r="B58" s="4"/>
      <c r="C58" s="47"/>
      <c r="D58" s="48"/>
      <c r="E58" s="28"/>
      <c r="F58" s="28"/>
      <c r="G58" s="28"/>
      <c r="H58" s="28"/>
      <c r="I58" s="47"/>
      <c r="J58" s="28"/>
      <c r="K58" s="28"/>
      <c r="L58" s="28"/>
      <c r="M58" s="36">
        <f>SUM(M46:M57)</f>
        <v>593.90310278159609</v>
      </c>
      <c r="N58" s="2" t="s">
        <v>89</v>
      </c>
      <c r="O58" s="2"/>
      <c r="P58" s="4" t="s">
        <v>75</v>
      </c>
      <c r="Q58" s="4"/>
      <c r="R58" s="4"/>
      <c r="S58" s="4"/>
      <c r="T58" s="4"/>
      <c r="U58" s="4"/>
      <c r="V58" s="4"/>
      <c r="W58" s="5"/>
      <c r="Y58" s="6">
        <v>58</v>
      </c>
      <c r="Z58" s="7">
        <v>0.62</v>
      </c>
      <c r="AA58" s="6">
        <v>488</v>
      </c>
      <c r="AB58" s="6">
        <v>215</v>
      </c>
      <c r="AC58" s="6">
        <v>186</v>
      </c>
      <c r="AD58" s="6">
        <v>193</v>
      </c>
      <c r="AE58" s="7">
        <v>10</v>
      </c>
    </row>
    <row r="59" spans="1:31" x14ac:dyDescent="0.35">
      <c r="A59" s="4"/>
      <c r="B59" s="4"/>
      <c r="C59" s="47"/>
      <c r="D59" s="48"/>
      <c r="E59" s="28"/>
      <c r="F59" s="28"/>
      <c r="G59" s="28"/>
      <c r="H59" s="28"/>
      <c r="I59" s="47"/>
      <c r="J59" s="28"/>
      <c r="K59" s="28"/>
      <c r="L59" s="28"/>
      <c r="M59" s="4"/>
      <c r="N59" s="4"/>
      <c r="O59" s="4"/>
      <c r="P59" s="4"/>
      <c r="Q59" s="4"/>
      <c r="R59" s="4"/>
      <c r="S59" s="4"/>
      <c r="T59" s="4"/>
      <c r="U59" s="4"/>
      <c r="V59" s="4"/>
      <c r="W59" s="5"/>
      <c r="Y59" s="6">
        <v>59</v>
      </c>
      <c r="Z59" s="7">
        <v>0.63</v>
      </c>
      <c r="AA59" s="6">
        <v>486</v>
      </c>
      <c r="AB59" s="6">
        <v>210</v>
      </c>
      <c r="AC59" s="6">
        <v>184</v>
      </c>
      <c r="AD59" s="6">
        <v>192</v>
      </c>
      <c r="AE59" s="7">
        <v>10</v>
      </c>
    </row>
    <row r="60" spans="1:31" x14ac:dyDescent="0.35">
      <c r="A60" s="2" t="s">
        <v>63</v>
      </c>
      <c r="B60" s="4"/>
      <c r="C60" s="47"/>
      <c r="D60" s="48"/>
      <c r="E60" s="37"/>
      <c r="F60" s="28"/>
      <c r="G60" s="28"/>
      <c r="H60" s="28"/>
      <c r="I60" s="47"/>
      <c r="J60" s="28"/>
      <c r="K60" s="28"/>
      <c r="L60" s="28"/>
      <c r="M60" s="4"/>
      <c r="N60" s="4"/>
      <c r="O60" s="4"/>
      <c r="P60" s="4"/>
      <c r="Q60" s="4"/>
      <c r="R60" s="4"/>
      <c r="S60" s="4"/>
      <c r="T60" s="4" t="s">
        <v>69</v>
      </c>
      <c r="U60" s="4"/>
      <c r="V60" s="4"/>
      <c r="W60" s="5"/>
      <c r="Y60" s="6">
        <v>60</v>
      </c>
      <c r="Z60" s="7">
        <v>0.64</v>
      </c>
      <c r="AA60" s="6">
        <v>484</v>
      </c>
      <c r="AB60" s="6">
        <v>205</v>
      </c>
      <c r="AC60" s="6">
        <v>182</v>
      </c>
      <c r="AD60" s="6">
        <v>191</v>
      </c>
      <c r="AE60" s="7">
        <v>10</v>
      </c>
    </row>
    <row r="61" spans="1:31" x14ac:dyDescent="0.35">
      <c r="A61" s="4"/>
      <c r="B61" s="27" t="s">
        <v>0</v>
      </c>
      <c r="C61" s="46" t="s">
        <v>46</v>
      </c>
      <c r="D61" s="48"/>
      <c r="E61" s="28" t="s">
        <v>12</v>
      </c>
      <c r="F61" s="28"/>
      <c r="G61" s="28" t="s">
        <v>5</v>
      </c>
      <c r="H61" s="28" t="s">
        <v>6</v>
      </c>
      <c r="I61" s="47"/>
      <c r="J61" s="28" t="s">
        <v>8</v>
      </c>
      <c r="K61" s="28" t="s">
        <v>9</v>
      </c>
      <c r="L61" s="28" t="s">
        <v>10</v>
      </c>
      <c r="M61" s="2" t="s">
        <v>11</v>
      </c>
      <c r="N61" s="4"/>
      <c r="O61" s="4"/>
      <c r="P61" s="4"/>
      <c r="Q61" s="4" t="s">
        <v>66</v>
      </c>
      <c r="R61" s="4" t="s">
        <v>65</v>
      </c>
      <c r="S61" s="4" t="s">
        <v>65</v>
      </c>
      <c r="T61" s="4" t="s">
        <v>70</v>
      </c>
      <c r="U61" s="4" t="s">
        <v>72</v>
      </c>
      <c r="V61" s="4"/>
      <c r="W61" s="5"/>
      <c r="Y61" s="6">
        <v>61</v>
      </c>
      <c r="Z61" s="7">
        <v>0.65</v>
      </c>
      <c r="AA61" s="6">
        <v>482</v>
      </c>
      <c r="AB61" s="6">
        <v>200</v>
      </c>
      <c r="AC61" s="6">
        <v>180</v>
      </c>
      <c r="AD61" s="6">
        <v>190</v>
      </c>
      <c r="AE61" s="7">
        <v>10</v>
      </c>
    </row>
    <row r="62" spans="1:31" x14ac:dyDescent="0.35">
      <c r="A62" s="29">
        <v>41654</v>
      </c>
      <c r="B62" s="28">
        <v>31</v>
      </c>
      <c r="C62" s="30">
        <v>71.537778384098019</v>
      </c>
      <c r="D62" s="48"/>
      <c r="E62" s="32">
        <f t="shared" ref="E62:E73" si="24">C62/B62</f>
        <v>2.3076702704547749</v>
      </c>
      <c r="F62" s="33">
        <f>F46</f>
        <v>9.3531460505257904</v>
      </c>
      <c r="G62" s="33">
        <f t="shared" ref="G62:G73" si="25">E62/F30</f>
        <v>0.24672663700413922</v>
      </c>
      <c r="H62" s="33">
        <f>(-0.446)*(G62^2)+0.96*G62+0.48</f>
        <v>0.68970775262428563</v>
      </c>
      <c r="I62" s="34">
        <v>2</v>
      </c>
      <c r="J62" s="33">
        <f t="shared" ref="J62:J73" si="26">I30+0.03*G62*1000</f>
        <v>9.4017991101241769</v>
      </c>
      <c r="K62" s="33">
        <f>(-0.00002)*(J62^2)-0.001*J62+1.042</f>
        <v>1.0308303243597332</v>
      </c>
      <c r="L62" s="33">
        <f t="shared" ref="L62:L73" si="27">(B$25/100)*H62*K62</f>
        <v>0.10664574995266725</v>
      </c>
      <c r="M62" s="35">
        <f t="shared" ref="M62:M73" si="28">$B$24*C62*L62/1000</f>
        <v>23.904826747255505</v>
      </c>
      <c r="N62" s="4" t="s">
        <v>77</v>
      </c>
      <c r="O62" s="4"/>
      <c r="P62" s="4" t="s">
        <v>34</v>
      </c>
      <c r="Q62" s="4" t="s">
        <v>64</v>
      </c>
      <c r="R62" s="4" t="s">
        <v>67</v>
      </c>
      <c r="S62" s="4" t="s">
        <v>68</v>
      </c>
      <c r="T62" s="4" t="s">
        <v>71</v>
      </c>
      <c r="U62" s="4" t="s">
        <v>73</v>
      </c>
      <c r="V62" s="4"/>
      <c r="W62" s="5"/>
      <c r="Y62" s="6">
        <v>62</v>
      </c>
      <c r="Z62" s="7">
        <v>0.66</v>
      </c>
      <c r="AA62" s="6">
        <v>480</v>
      </c>
      <c r="AB62" s="6">
        <v>195</v>
      </c>
      <c r="AC62" s="6">
        <v>178</v>
      </c>
      <c r="AD62" s="6">
        <v>189</v>
      </c>
      <c r="AE62" s="7">
        <v>10</v>
      </c>
    </row>
    <row r="63" spans="1:31" x14ac:dyDescent="0.35">
      <c r="A63" s="29">
        <v>41684</v>
      </c>
      <c r="B63" s="28">
        <v>28</v>
      </c>
      <c r="C63" s="30">
        <v>101.52033486867367</v>
      </c>
      <c r="D63" s="48"/>
      <c r="E63" s="32">
        <f t="shared" si="24"/>
        <v>3.6257262453097741</v>
      </c>
      <c r="F63" s="33">
        <f t="shared" ref="F63:F73" si="29">F47</f>
        <v>10.373029852541235</v>
      </c>
      <c r="G63" s="33">
        <f t="shared" si="25"/>
        <v>0.34953396421794025</v>
      </c>
      <c r="H63" s="33">
        <f t="shared" ref="H63:H73" si="30">(-0.446)*(G63^2)+0.96*G63+0.48</f>
        <v>0.76106300515393155</v>
      </c>
      <c r="I63" s="34">
        <v>7.5</v>
      </c>
      <c r="J63" s="33">
        <f t="shared" si="26"/>
        <v>17.986018926538208</v>
      </c>
      <c r="K63" s="33">
        <f t="shared" ref="K63:K73" si="31">(-0.00002)*(J63^2)-0.001*J63+1.042</f>
        <v>1.0175440435369461</v>
      </c>
      <c r="L63" s="33">
        <f t="shared" si="27"/>
        <v>0.11616226914760666</v>
      </c>
      <c r="M63" s="35">
        <f t="shared" si="28"/>
        <v>36.950875050639418</v>
      </c>
      <c r="N63" s="4" t="s">
        <v>78</v>
      </c>
      <c r="O63" s="4"/>
      <c r="P63" s="4">
        <v>2015</v>
      </c>
      <c r="Q63" s="7">
        <f>(B13*1000)*SUM(D16:D19)/1000</f>
        <v>663.59299999999996</v>
      </c>
      <c r="R63" s="7">
        <f>($B$13*1000)*$D$20/1000</f>
        <v>9.4</v>
      </c>
      <c r="S63" s="7">
        <f t="shared" ref="S63:S73" si="32">$M$74*$N$11/1000</f>
        <v>72.124905578042075</v>
      </c>
      <c r="T63" s="7">
        <f t="shared" ref="T63:T73" si="33">S63/((1+$B$12/100)^(P63-$P$31))</f>
        <v>72.124905578042075</v>
      </c>
      <c r="U63" s="13">
        <f>T63-R63-Q63</f>
        <v>-600.86809442195784</v>
      </c>
      <c r="V63" s="4"/>
      <c r="W63" s="5"/>
      <c r="Y63" s="6">
        <v>63</v>
      </c>
      <c r="Z63" s="7">
        <v>0.67</v>
      </c>
      <c r="AA63" s="6">
        <v>478</v>
      </c>
      <c r="AB63" s="6">
        <v>190</v>
      </c>
      <c r="AC63" s="6">
        <v>176</v>
      </c>
      <c r="AD63" s="6">
        <v>188</v>
      </c>
      <c r="AE63" s="7">
        <v>10</v>
      </c>
    </row>
    <row r="64" spans="1:31" x14ac:dyDescent="0.35">
      <c r="A64" s="29">
        <v>41713</v>
      </c>
      <c r="B64" s="28">
        <v>31</v>
      </c>
      <c r="C64" s="30">
        <v>172.89022223931778</v>
      </c>
      <c r="D64" s="48"/>
      <c r="E64" s="32">
        <f t="shared" si="24"/>
        <v>5.5771039432037997</v>
      </c>
      <c r="F64" s="33">
        <f t="shared" si="29"/>
        <v>11.671758937212665</v>
      </c>
      <c r="G64" s="33">
        <f t="shared" si="25"/>
        <v>0.47782891792106091</v>
      </c>
      <c r="H64" s="33">
        <f t="shared" si="30"/>
        <v>0.83688482944269948</v>
      </c>
      <c r="I64" s="34">
        <v>13.5</v>
      </c>
      <c r="J64" s="33">
        <f t="shared" si="26"/>
        <v>27.83486753763183</v>
      </c>
      <c r="K64" s="33">
        <f t="shared" si="31"/>
        <v>0.99866953544561798</v>
      </c>
      <c r="L64" s="33">
        <f t="shared" si="27"/>
        <v>0.1253657075761539</v>
      </c>
      <c r="M64" s="35">
        <f t="shared" si="28"/>
        <v>67.913449137962459</v>
      </c>
      <c r="N64" s="4" t="s">
        <v>79</v>
      </c>
      <c r="O64" s="4"/>
      <c r="P64" s="4">
        <v>2016</v>
      </c>
      <c r="Q64" s="4"/>
      <c r="R64" s="7">
        <f>($B$13*1000)*$D$20/1000</f>
        <v>9.4</v>
      </c>
      <c r="S64" s="7">
        <f t="shared" si="32"/>
        <v>72.124905578042075</v>
      </c>
      <c r="T64" s="7">
        <f t="shared" si="33"/>
        <v>70.710691743178501</v>
      </c>
      <c r="U64" s="13">
        <f>U63+T64-R64</f>
        <v>-539.55740267877934</v>
      </c>
      <c r="V64" s="4"/>
      <c r="W64" s="5"/>
      <c r="Y64" s="6">
        <v>64</v>
      </c>
      <c r="Z64" s="7">
        <v>0.68</v>
      </c>
      <c r="AA64" s="6">
        <v>476</v>
      </c>
      <c r="AB64" s="6">
        <v>185</v>
      </c>
      <c r="AC64" s="6">
        <v>174</v>
      </c>
      <c r="AD64" s="6">
        <v>187</v>
      </c>
      <c r="AE64" s="7">
        <v>10</v>
      </c>
    </row>
    <row r="65" spans="1:31" x14ac:dyDescent="0.35">
      <c r="A65" s="29">
        <v>41744</v>
      </c>
      <c r="B65" s="28">
        <v>30</v>
      </c>
      <c r="C65" s="30">
        <v>217.61965722621483</v>
      </c>
      <c r="D65" s="48"/>
      <c r="E65" s="32">
        <f t="shared" si="24"/>
        <v>7.2539885742071606</v>
      </c>
      <c r="F65" s="33">
        <f t="shared" si="29"/>
        <v>12.33514315908092</v>
      </c>
      <c r="G65" s="33">
        <f t="shared" si="25"/>
        <v>0.58807494008425021</v>
      </c>
      <c r="H65" s="33">
        <f t="shared" si="30"/>
        <v>0.89031081020170799</v>
      </c>
      <c r="I65" s="34">
        <v>20</v>
      </c>
      <c r="J65" s="33">
        <f t="shared" si="26"/>
        <v>37.642248202527504</v>
      </c>
      <c r="K65" s="33">
        <f t="shared" si="31"/>
        <v>0.97601897480265887</v>
      </c>
      <c r="L65" s="33">
        <f t="shared" si="27"/>
        <v>0.13034403663431934</v>
      </c>
      <c r="M65" s="35">
        <f t="shared" si="28"/>
        <v>88.878330331370861</v>
      </c>
      <c r="N65" s="4" t="s">
        <v>80</v>
      </c>
      <c r="O65" s="4"/>
      <c r="P65" s="4">
        <v>2017</v>
      </c>
      <c r="Q65" s="4"/>
      <c r="R65" s="7">
        <f t="shared" ref="R65:R73" si="34">($B$13*1000)*$D$20/1000</f>
        <v>9.4</v>
      </c>
      <c r="S65" s="7">
        <f t="shared" si="32"/>
        <v>72.124905578042075</v>
      </c>
      <c r="T65" s="7">
        <f t="shared" si="33"/>
        <v>69.324207591351481</v>
      </c>
      <c r="U65" s="13">
        <f t="shared" ref="U65:U72" si="35">U64+T65-R65</f>
        <v>-479.63319508742785</v>
      </c>
      <c r="V65" s="4"/>
      <c r="W65" s="5"/>
      <c r="Y65" s="6">
        <v>65</v>
      </c>
      <c r="Z65" s="7">
        <v>0.69</v>
      </c>
      <c r="AA65" s="6">
        <v>474</v>
      </c>
      <c r="AB65" s="6">
        <v>180</v>
      </c>
      <c r="AC65" s="6">
        <v>172</v>
      </c>
      <c r="AD65" s="6">
        <v>186</v>
      </c>
      <c r="AE65" s="7">
        <v>10</v>
      </c>
    </row>
    <row r="66" spans="1:31" x14ac:dyDescent="0.35">
      <c r="A66" s="29">
        <v>41774</v>
      </c>
      <c r="B66" s="28">
        <v>31</v>
      </c>
      <c r="C66" s="30">
        <v>267.78550709366237</v>
      </c>
      <c r="D66" s="48"/>
      <c r="E66" s="32">
        <f t="shared" si="24"/>
        <v>8.6382421643116896</v>
      </c>
      <c r="F66" s="33">
        <f t="shared" si="29"/>
        <v>12.688456870149944</v>
      </c>
      <c r="G66" s="33">
        <f t="shared" si="25"/>
        <v>0.68079532859771696</v>
      </c>
      <c r="H66" s="33">
        <f t="shared" si="30"/>
        <v>0.92685041882335717</v>
      </c>
      <c r="I66" s="34">
        <v>25</v>
      </c>
      <c r="J66" s="33">
        <f t="shared" si="26"/>
        <v>45.423859857931511</v>
      </c>
      <c r="K66" s="33">
        <f t="shared" si="31"/>
        <v>0.95530959925420844</v>
      </c>
      <c r="L66" s="33">
        <f t="shared" si="27"/>
        <v>0.13281436532621047</v>
      </c>
      <c r="M66" s="35">
        <f t="shared" si="28"/>
        <v>111.43938812703355</v>
      </c>
      <c r="N66" s="4" t="s">
        <v>81</v>
      </c>
      <c r="O66" s="4"/>
      <c r="P66" s="4">
        <v>2018</v>
      </c>
      <c r="Q66" s="4"/>
      <c r="R66" s="7">
        <f t="shared" si="34"/>
        <v>9.4</v>
      </c>
      <c r="S66" s="7">
        <f t="shared" si="32"/>
        <v>72.124905578042075</v>
      </c>
      <c r="T66" s="7">
        <f t="shared" si="33"/>
        <v>67.964909403285759</v>
      </c>
      <c r="U66" s="13">
        <f>U65+T66-R66</f>
        <v>-421.0682856841421</v>
      </c>
      <c r="V66" s="4"/>
      <c r="W66" s="5"/>
      <c r="Y66" s="6">
        <v>66</v>
      </c>
      <c r="Z66" s="7">
        <v>0.7</v>
      </c>
      <c r="AA66" s="6">
        <v>472</v>
      </c>
      <c r="AB66" s="6">
        <v>175</v>
      </c>
      <c r="AC66" s="6">
        <v>170</v>
      </c>
      <c r="AD66" s="6">
        <v>185</v>
      </c>
      <c r="AE66" s="7">
        <v>10</v>
      </c>
    </row>
    <row r="67" spans="1:31" x14ac:dyDescent="0.35">
      <c r="A67" s="29">
        <v>41805</v>
      </c>
      <c r="B67" s="28">
        <v>30</v>
      </c>
      <c r="C67" s="30">
        <v>284.17623467329162</v>
      </c>
      <c r="D67" s="48"/>
      <c r="E67" s="32">
        <f t="shared" si="24"/>
        <v>9.472541155776387</v>
      </c>
      <c r="F67" s="33">
        <f t="shared" si="29"/>
        <v>12.872675495288023</v>
      </c>
      <c r="G67" s="33">
        <f t="shared" si="25"/>
        <v>0.73586420781319017</v>
      </c>
      <c r="H67" s="33">
        <f t="shared" si="30"/>
        <v>0.94492236447678435</v>
      </c>
      <c r="I67" s="34">
        <v>28</v>
      </c>
      <c r="J67" s="33">
        <f t="shared" si="26"/>
        <v>50.075926234395702</v>
      </c>
      <c r="K67" s="33">
        <f t="shared" si="31"/>
        <v>0.94177210600095151</v>
      </c>
      <c r="L67" s="33">
        <f t="shared" si="27"/>
        <v>0.13348522878010499</v>
      </c>
      <c r="M67" s="35">
        <f t="shared" si="28"/>
        <v>118.85776639093049</v>
      </c>
      <c r="N67" s="4" t="s">
        <v>82</v>
      </c>
      <c r="O67" s="4"/>
      <c r="P67" s="4">
        <v>2019</v>
      </c>
      <c r="Q67" s="4"/>
      <c r="R67" s="7">
        <f t="shared" si="34"/>
        <v>9.4</v>
      </c>
      <c r="S67" s="7">
        <f t="shared" si="32"/>
        <v>72.124905578042075</v>
      </c>
      <c r="T67" s="7">
        <f t="shared" si="33"/>
        <v>66.632264120868399</v>
      </c>
      <c r="U67" s="13">
        <f t="shared" si="35"/>
        <v>-363.83602156327368</v>
      </c>
      <c r="V67" s="4"/>
      <c r="W67" s="5"/>
      <c r="Y67" s="6">
        <v>67</v>
      </c>
      <c r="Z67" s="7">
        <v>0.71</v>
      </c>
      <c r="AA67" s="6">
        <v>470</v>
      </c>
      <c r="AB67" s="6">
        <v>170</v>
      </c>
      <c r="AC67" s="6">
        <v>168</v>
      </c>
      <c r="AD67" s="6">
        <v>184</v>
      </c>
      <c r="AE67" s="7">
        <v>10</v>
      </c>
    </row>
    <row r="68" spans="1:31" x14ac:dyDescent="0.35">
      <c r="A68" s="29">
        <v>41835</v>
      </c>
      <c r="B68" s="28">
        <v>31</v>
      </c>
      <c r="C68" s="30">
        <v>286.43090056145724</v>
      </c>
      <c r="D68" s="48"/>
      <c r="E68" s="32">
        <f t="shared" si="24"/>
        <v>9.2397064697244264</v>
      </c>
      <c r="F68" s="33">
        <f t="shared" si="29"/>
        <v>12.798063740584036</v>
      </c>
      <c r="G68" s="33">
        <f t="shared" si="25"/>
        <v>0.72196127922260023</v>
      </c>
      <c r="H68" s="33">
        <f t="shared" si="30"/>
        <v>0.940615100494953</v>
      </c>
      <c r="I68" s="34">
        <v>29.5</v>
      </c>
      <c r="J68" s="33">
        <f t="shared" si="26"/>
        <v>51.158838376678005</v>
      </c>
      <c r="K68" s="33">
        <f t="shared" si="31"/>
        <v>0.93849662674230072</v>
      </c>
      <c r="L68" s="33">
        <f t="shared" si="27"/>
        <v>0.13241461483160752</v>
      </c>
      <c r="M68" s="35">
        <f t="shared" si="28"/>
        <v>118.83993043764295</v>
      </c>
      <c r="N68" s="4" t="s">
        <v>83</v>
      </c>
      <c r="O68" s="4"/>
      <c r="P68" s="4">
        <v>2020</v>
      </c>
      <c r="Q68" s="4"/>
      <c r="R68" s="7">
        <f t="shared" si="34"/>
        <v>9.4</v>
      </c>
      <c r="S68" s="7">
        <f t="shared" si="32"/>
        <v>72.124905578042075</v>
      </c>
      <c r="T68" s="7">
        <f t="shared" si="33"/>
        <v>65.325749138106261</v>
      </c>
      <c r="U68" s="13">
        <f t="shared" si="35"/>
        <v>-307.91027242516736</v>
      </c>
      <c r="V68" s="4"/>
      <c r="W68" s="5"/>
      <c r="Y68" s="6">
        <v>68</v>
      </c>
      <c r="Z68" s="7">
        <v>0.72</v>
      </c>
      <c r="AA68" s="6">
        <v>468</v>
      </c>
      <c r="AB68" s="6">
        <v>165</v>
      </c>
      <c r="AC68" s="6">
        <v>166</v>
      </c>
      <c r="AD68" s="6">
        <v>183</v>
      </c>
      <c r="AE68" s="7">
        <v>10</v>
      </c>
    </row>
    <row r="69" spans="1:31" x14ac:dyDescent="0.35">
      <c r="A69" s="29">
        <v>41866</v>
      </c>
      <c r="B69" s="28">
        <v>31</v>
      </c>
      <c r="C69" s="30">
        <v>253.8016341000291</v>
      </c>
      <c r="D69" s="48"/>
      <c r="E69" s="32">
        <f t="shared" si="24"/>
        <v>8.1871494870977131</v>
      </c>
      <c r="F69" s="33">
        <f t="shared" si="29"/>
        <v>12.496022893392679</v>
      </c>
      <c r="G69" s="33">
        <f t="shared" si="25"/>
        <v>0.6551804167569748</v>
      </c>
      <c r="H69" s="33">
        <f t="shared" si="30"/>
        <v>0.91752262527487372</v>
      </c>
      <c r="I69" s="34">
        <v>28</v>
      </c>
      <c r="J69" s="33">
        <f t="shared" si="26"/>
        <v>47.65541250270924</v>
      </c>
      <c r="K69" s="33">
        <f t="shared" si="31"/>
        <v>0.94892382068122327</v>
      </c>
      <c r="L69" s="33">
        <f t="shared" si="27"/>
        <v>0.13059886127059492</v>
      </c>
      <c r="M69" s="35">
        <f t="shared" si="28"/>
        <v>103.85810712651733</v>
      </c>
      <c r="N69" s="4" t="s">
        <v>84</v>
      </c>
      <c r="O69" s="4"/>
      <c r="P69" s="4">
        <v>2021</v>
      </c>
      <c r="Q69" s="4"/>
      <c r="R69" s="7">
        <f t="shared" si="34"/>
        <v>9.4</v>
      </c>
      <c r="S69" s="7">
        <f t="shared" si="32"/>
        <v>72.124905578042075</v>
      </c>
      <c r="T69" s="7">
        <f t="shared" si="33"/>
        <v>64.044852096182609</v>
      </c>
      <c r="U69" s="13">
        <f t="shared" si="35"/>
        <v>-253.26542032898476</v>
      </c>
      <c r="V69" s="4"/>
      <c r="W69" s="5"/>
      <c r="Y69" s="6">
        <v>69</v>
      </c>
      <c r="Z69" s="7">
        <v>0.73</v>
      </c>
      <c r="AA69" s="6">
        <v>466</v>
      </c>
      <c r="AB69" s="6">
        <v>160</v>
      </c>
      <c r="AC69" s="6">
        <v>164</v>
      </c>
      <c r="AD69" s="6">
        <v>182</v>
      </c>
      <c r="AE69" s="7">
        <v>10</v>
      </c>
    </row>
    <row r="70" spans="1:31" x14ac:dyDescent="0.35">
      <c r="A70" s="29">
        <v>41897</v>
      </c>
      <c r="B70" s="28">
        <v>30</v>
      </c>
      <c r="C70" s="30">
        <v>205.17569566003718</v>
      </c>
      <c r="D70" s="48"/>
      <c r="E70" s="32">
        <f t="shared" si="24"/>
        <v>6.8391898553345722</v>
      </c>
      <c r="F70" s="33">
        <f t="shared" si="29"/>
        <v>12.07821857112212</v>
      </c>
      <c r="G70" s="33">
        <f t="shared" si="25"/>
        <v>0.56624160384764266</v>
      </c>
      <c r="H70" s="33">
        <f t="shared" si="30"/>
        <v>0.88059115864187099</v>
      </c>
      <c r="I70" s="34">
        <v>25.5</v>
      </c>
      <c r="J70" s="33">
        <f t="shared" si="26"/>
        <v>42.487248115429281</v>
      </c>
      <c r="K70" s="33">
        <f t="shared" si="31"/>
        <v>0.96340942683612973</v>
      </c>
      <c r="L70" s="33">
        <f t="shared" si="27"/>
        <v>0.12725547351361924</v>
      </c>
      <c r="M70" s="35">
        <f t="shared" si="28"/>
        <v>81.810488288073358</v>
      </c>
      <c r="N70" s="4" t="s">
        <v>85</v>
      </c>
      <c r="O70" s="4"/>
      <c r="P70" s="4">
        <v>2022</v>
      </c>
      <c r="Q70" s="4"/>
      <c r="R70" s="7">
        <f t="shared" si="34"/>
        <v>9.4</v>
      </c>
      <c r="S70" s="7">
        <f t="shared" si="32"/>
        <v>72.124905578042075</v>
      </c>
      <c r="T70" s="7">
        <f t="shared" si="33"/>
        <v>62.789070682531985</v>
      </c>
      <c r="U70" s="13">
        <f t="shared" si="35"/>
        <v>-199.87634964645278</v>
      </c>
      <c r="V70" s="4"/>
      <c r="W70" s="5"/>
      <c r="Y70" s="6">
        <v>70</v>
      </c>
      <c r="Z70" s="7">
        <v>0.74</v>
      </c>
      <c r="AA70" s="6">
        <v>464</v>
      </c>
      <c r="AB70" s="6">
        <v>155</v>
      </c>
      <c r="AC70" s="6">
        <v>162</v>
      </c>
      <c r="AD70" s="6">
        <v>181</v>
      </c>
      <c r="AE70" s="7">
        <v>10</v>
      </c>
    </row>
    <row r="71" spans="1:31" x14ac:dyDescent="0.35">
      <c r="A71" s="29">
        <v>41927</v>
      </c>
      <c r="B71" s="28">
        <v>31</v>
      </c>
      <c r="C71" s="30">
        <v>154.75631555262802</v>
      </c>
      <c r="D71" s="48"/>
      <c r="E71" s="32">
        <f t="shared" si="24"/>
        <v>4.9921392113750978</v>
      </c>
      <c r="F71" s="33">
        <f t="shared" si="29"/>
        <v>10.868759482658961</v>
      </c>
      <c r="G71" s="33">
        <f t="shared" si="25"/>
        <v>0.45931085505572422</v>
      </c>
      <c r="H71" s="33">
        <f t="shared" si="30"/>
        <v>0.82684737899237404</v>
      </c>
      <c r="I71" s="34">
        <v>20</v>
      </c>
      <c r="J71" s="33">
        <f t="shared" si="26"/>
        <v>33.779325651671726</v>
      </c>
      <c r="K71" s="33">
        <f t="shared" si="31"/>
        <v>0.98539981751869454</v>
      </c>
      <c r="L71" s="33">
        <f t="shared" si="27"/>
        <v>0.12221628845623443</v>
      </c>
      <c r="M71" s="35">
        <f t="shared" si="28"/>
        <v>59.263059839612616</v>
      </c>
      <c r="N71" s="4" t="s">
        <v>86</v>
      </c>
      <c r="O71" s="4"/>
      <c r="P71" s="4">
        <v>2023</v>
      </c>
      <c r="Q71" s="4"/>
      <c r="R71" s="7">
        <f t="shared" si="34"/>
        <v>9.4</v>
      </c>
      <c r="S71" s="7">
        <f t="shared" si="32"/>
        <v>72.124905578042075</v>
      </c>
      <c r="T71" s="7">
        <f t="shared" si="33"/>
        <v>61.557912433854881</v>
      </c>
      <c r="U71" s="13">
        <f t="shared" si="35"/>
        <v>-147.71843721259791</v>
      </c>
      <c r="V71" s="4"/>
      <c r="W71" s="5"/>
      <c r="Y71" s="6">
        <v>71</v>
      </c>
      <c r="Z71" s="7">
        <v>0.75</v>
      </c>
      <c r="AA71" s="6">
        <v>462</v>
      </c>
      <c r="AB71" s="6">
        <v>150</v>
      </c>
      <c r="AC71" s="6">
        <v>160</v>
      </c>
      <c r="AD71" s="6">
        <v>180</v>
      </c>
      <c r="AE71" s="7">
        <v>10</v>
      </c>
    </row>
    <row r="72" spans="1:31" x14ac:dyDescent="0.35">
      <c r="A72" s="29">
        <v>41958</v>
      </c>
      <c r="B72" s="28">
        <v>30</v>
      </c>
      <c r="C72" s="30">
        <v>96.578122280522123</v>
      </c>
      <c r="D72" s="48"/>
      <c r="E72" s="32">
        <f t="shared" si="24"/>
        <v>3.219270742684071</v>
      </c>
      <c r="F72" s="33">
        <f t="shared" si="29"/>
        <v>9.6491181096507646</v>
      </c>
      <c r="G72" s="33">
        <f t="shared" si="25"/>
        <v>0.33363367575159547</v>
      </c>
      <c r="H72" s="33">
        <f t="shared" si="30"/>
        <v>0.75064343112192933</v>
      </c>
      <c r="I72" s="34">
        <v>12.5</v>
      </c>
      <c r="J72" s="33">
        <f t="shared" si="26"/>
        <v>22.509010272547862</v>
      </c>
      <c r="K72" s="33">
        <f t="shared" si="31"/>
        <v>1.009357878858459</v>
      </c>
      <c r="L72" s="33">
        <f t="shared" si="27"/>
        <v>0.11365017921243994</v>
      </c>
      <c r="M72" s="35">
        <f t="shared" si="28"/>
        <v>34.391845502904474</v>
      </c>
      <c r="N72" s="4" t="s">
        <v>87</v>
      </c>
      <c r="O72" s="4"/>
      <c r="P72" s="4">
        <v>2024</v>
      </c>
      <c r="Q72" s="4"/>
      <c r="R72" s="7">
        <f t="shared" si="34"/>
        <v>9.4</v>
      </c>
      <c r="S72" s="7">
        <f t="shared" si="32"/>
        <v>72.124905578042075</v>
      </c>
      <c r="T72" s="7">
        <f t="shared" si="33"/>
        <v>60.350894542994979</v>
      </c>
      <c r="U72" s="13">
        <f t="shared" si="35"/>
        <v>-96.767542669602932</v>
      </c>
      <c r="V72" s="4"/>
      <c r="W72" s="5"/>
      <c r="Y72" s="6">
        <v>72</v>
      </c>
      <c r="Z72" s="7">
        <v>0.76</v>
      </c>
      <c r="AA72" s="6">
        <v>460</v>
      </c>
      <c r="AB72" s="6">
        <v>145</v>
      </c>
      <c r="AC72" s="6">
        <v>158</v>
      </c>
      <c r="AD72" s="6">
        <v>179</v>
      </c>
      <c r="AE72" s="7">
        <v>10</v>
      </c>
    </row>
    <row r="73" spans="1:31" x14ac:dyDescent="0.35">
      <c r="A73" s="29">
        <v>41988</v>
      </c>
      <c r="B73" s="28">
        <v>31</v>
      </c>
      <c r="C73" s="30">
        <v>67.250515652171345</v>
      </c>
      <c r="D73" s="48"/>
      <c r="E73" s="32">
        <f t="shared" si="24"/>
        <v>2.1693714726506887</v>
      </c>
      <c r="F73" s="33">
        <f t="shared" si="29"/>
        <v>9.0524488129344451</v>
      </c>
      <c r="G73" s="33">
        <f t="shared" si="25"/>
        <v>0.23964471023034312</v>
      </c>
      <c r="H73" s="33">
        <f t="shared" si="30"/>
        <v>0.68444532595607166</v>
      </c>
      <c r="I73" s="34">
        <v>3.5</v>
      </c>
      <c r="J73" s="33">
        <f t="shared" si="26"/>
        <v>10.689341306910293</v>
      </c>
      <c r="K73" s="33">
        <f t="shared" si="31"/>
        <v>1.0290254183415775</v>
      </c>
      <c r="L73" s="33">
        <f t="shared" si="27"/>
        <v>0.10564674568108261</v>
      </c>
      <c r="M73" s="35">
        <f t="shared" si="28"/>
        <v>22.261700788616714</v>
      </c>
      <c r="N73" s="4" t="s">
        <v>88</v>
      </c>
      <c r="O73" s="4"/>
      <c r="P73" s="4">
        <v>2025</v>
      </c>
      <c r="Q73" s="4"/>
      <c r="R73" s="7">
        <f t="shared" si="34"/>
        <v>9.4</v>
      </c>
      <c r="S73" s="7">
        <f t="shared" si="32"/>
        <v>72.124905578042075</v>
      </c>
      <c r="T73" s="7">
        <f t="shared" si="33"/>
        <v>59.167543669602921</v>
      </c>
      <c r="U73" s="13">
        <f>U72+T73-R73</f>
        <v>-46.99999900000001</v>
      </c>
      <c r="V73" s="4"/>
      <c r="W73" s="5"/>
      <c r="Y73" s="6">
        <v>73</v>
      </c>
      <c r="Z73" s="7">
        <v>0.77</v>
      </c>
      <c r="AA73" s="6">
        <v>458</v>
      </c>
      <c r="AB73" s="6">
        <v>140</v>
      </c>
      <c r="AC73" s="6">
        <v>156</v>
      </c>
      <c r="AD73" s="6">
        <v>178</v>
      </c>
      <c r="AE73" s="7">
        <v>10</v>
      </c>
    </row>
    <row r="74" spans="1:31" x14ac:dyDescent="0.35">
      <c r="A74" s="2"/>
      <c r="B74" s="4"/>
      <c r="C74" s="4"/>
      <c r="D74" s="4"/>
      <c r="E74" s="2"/>
      <c r="F74" s="4"/>
      <c r="G74" s="2"/>
      <c r="H74" s="2"/>
      <c r="I74" s="4"/>
      <c r="J74" s="2"/>
      <c r="K74" s="2"/>
      <c r="L74" s="2"/>
      <c r="M74" s="36">
        <f>SUM(M62:M73)</f>
        <v>868.36976776855977</v>
      </c>
      <c r="N74" s="2" t="s">
        <v>89</v>
      </c>
      <c r="O74" s="4"/>
      <c r="P74" s="4" t="s">
        <v>76</v>
      </c>
      <c r="Q74" s="4"/>
      <c r="R74" s="4"/>
      <c r="S74" s="4"/>
      <c r="T74" s="4"/>
      <c r="U74" s="4"/>
      <c r="V74" s="4"/>
      <c r="W74" s="5"/>
      <c r="Y74" s="6">
        <v>74</v>
      </c>
      <c r="Z74" s="7">
        <v>0.78</v>
      </c>
      <c r="AA74" s="6">
        <v>456</v>
      </c>
      <c r="AB74" s="6">
        <v>135</v>
      </c>
      <c r="AC74" s="6">
        <v>154</v>
      </c>
      <c r="AD74" s="6">
        <v>177</v>
      </c>
      <c r="AE74" s="7">
        <v>10</v>
      </c>
    </row>
    <row r="75" spans="1:31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2"/>
      <c r="M75" s="4"/>
      <c r="N75" s="4"/>
      <c r="O75" s="4"/>
      <c r="P75" s="4"/>
      <c r="Q75" s="4"/>
      <c r="R75" s="4"/>
      <c r="S75" s="4"/>
      <c r="T75" s="4"/>
      <c r="U75" s="4"/>
      <c r="V75" s="4"/>
      <c r="W75" s="5"/>
      <c r="Y75" s="6">
        <v>75</v>
      </c>
      <c r="Z75" s="7">
        <v>0.79</v>
      </c>
      <c r="AA75" s="6">
        <v>454</v>
      </c>
      <c r="AB75" s="6">
        <v>130</v>
      </c>
      <c r="AC75" s="6">
        <v>152</v>
      </c>
      <c r="AD75" s="6">
        <v>176</v>
      </c>
      <c r="AE75" s="7">
        <v>10</v>
      </c>
    </row>
    <row r="76" spans="1:31" x14ac:dyDescent="0.3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Y76" s="6">
        <v>76</v>
      </c>
      <c r="Z76" s="7">
        <v>0.8</v>
      </c>
      <c r="AA76" s="6">
        <v>452</v>
      </c>
      <c r="AB76" s="6">
        <v>125</v>
      </c>
      <c r="AC76" s="6">
        <v>150</v>
      </c>
      <c r="AD76" s="6">
        <v>175</v>
      </c>
      <c r="AE76" s="7">
        <v>10</v>
      </c>
    </row>
    <row r="77" spans="1:31" x14ac:dyDescent="0.35">
      <c r="Y77" s="6">
        <v>77</v>
      </c>
      <c r="Z77" s="7">
        <v>0.81</v>
      </c>
      <c r="AA77" s="6">
        <v>450</v>
      </c>
      <c r="AB77" s="6">
        <v>120</v>
      </c>
      <c r="AC77" s="6">
        <v>148</v>
      </c>
      <c r="AD77" s="6">
        <v>174</v>
      </c>
      <c r="AE77" s="7">
        <v>10</v>
      </c>
    </row>
    <row r="78" spans="1:31" x14ac:dyDescent="0.35">
      <c r="Y78" s="6">
        <v>78</v>
      </c>
      <c r="Z78" s="7">
        <v>0.82</v>
      </c>
      <c r="AA78" s="6">
        <v>448</v>
      </c>
      <c r="AB78" s="6">
        <v>115</v>
      </c>
      <c r="AC78" s="6">
        <v>146</v>
      </c>
      <c r="AD78" s="6">
        <v>173</v>
      </c>
      <c r="AE78" s="7">
        <v>10</v>
      </c>
    </row>
    <row r="79" spans="1:31" x14ac:dyDescent="0.35">
      <c r="Y79" s="6">
        <v>79</v>
      </c>
      <c r="Z79" s="7">
        <v>0.83</v>
      </c>
      <c r="AA79" s="6">
        <v>446</v>
      </c>
      <c r="AB79" s="6">
        <v>110</v>
      </c>
      <c r="AC79" s="6">
        <v>144</v>
      </c>
      <c r="AD79" s="6">
        <v>172</v>
      </c>
      <c r="AE79" s="7">
        <v>10</v>
      </c>
    </row>
    <row r="80" spans="1:31" x14ac:dyDescent="0.35">
      <c r="Y80" s="6">
        <v>80</v>
      </c>
      <c r="Z80" s="7">
        <v>0.84</v>
      </c>
      <c r="AA80" s="6">
        <v>444</v>
      </c>
      <c r="AB80" s="6">
        <v>105</v>
      </c>
      <c r="AC80" s="6">
        <v>142</v>
      </c>
      <c r="AD80" s="6">
        <v>171</v>
      </c>
      <c r="AE80" s="7">
        <v>10</v>
      </c>
    </row>
    <row r="81" spans="25:31" x14ac:dyDescent="0.35">
      <c r="Y81" s="6">
        <v>81</v>
      </c>
      <c r="Z81" s="7">
        <v>0.85</v>
      </c>
      <c r="AA81" s="6">
        <v>442</v>
      </c>
      <c r="AB81" s="6">
        <v>100</v>
      </c>
      <c r="AC81" s="6">
        <v>140</v>
      </c>
      <c r="AD81" s="6">
        <v>170</v>
      </c>
      <c r="AE81" s="7">
        <v>10</v>
      </c>
    </row>
    <row r="82" spans="25:31" x14ac:dyDescent="0.35">
      <c r="Y82" s="6">
        <v>82</v>
      </c>
      <c r="Z82" s="7">
        <v>0.86</v>
      </c>
      <c r="AA82" s="6">
        <v>440</v>
      </c>
      <c r="AB82" s="6">
        <v>95</v>
      </c>
      <c r="AC82" s="6">
        <v>138</v>
      </c>
      <c r="AD82" s="6">
        <v>169</v>
      </c>
      <c r="AE82" s="7">
        <v>10</v>
      </c>
    </row>
    <row r="83" spans="25:31" x14ac:dyDescent="0.35">
      <c r="Y83" s="6">
        <v>83</v>
      </c>
      <c r="Z83" s="7">
        <v>0.87</v>
      </c>
      <c r="AA83" s="6">
        <v>438</v>
      </c>
      <c r="AB83" s="6">
        <v>90</v>
      </c>
      <c r="AC83" s="6">
        <v>136</v>
      </c>
      <c r="AD83" s="6">
        <v>168</v>
      </c>
      <c r="AE83" s="7">
        <v>10</v>
      </c>
    </row>
    <row r="84" spans="25:31" x14ac:dyDescent="0.35">
      <c r="Y84" s="6">
        <v>84</v>
      </c>
      <c r="Z84" s="7">
        <v>0.88</v>
      </c>
      <c r="AA84" s="6">
        <v>436</v>
      </c>
      <c r="AB84" s="6">
        <v>85</v>
      </c>
      <c r="AC84" s="6">
        <v>134</v>
      </c>
      <c r="AD84" s="6">
        <v>167</v>
      </c>
      <c r="AE84" s="7">
        <v>10</v>
      </c>
    </row>
    <row r="85" spans="25:31" x14ac:dyDescent="0.35">
      <c r="Y85" s="6">
        <v>85</v>
      </c>
      <c r="Z85" s="7">
        <v>0.89</v>
      </c>
      <c r="AA85" s="6">
        <v>434</v>
      </c>
      <c r="AB85" s="6">
        <v>80</v>
      </c>
      <c r="AC85" s="6">
        <v>132</v>
      </c>
      <c r="AD85" s="6">
        <v>166</v>
      </c>
      <c r="AE85" s="7">
        <v>10</v>
      </c>
    </row>
    <row r="86" spans="25:31" x14ac:dyDescent="0.35">
      <c r="Y86" s="6">
        <v>86</v>
      </c>
      <c r="Z86" s="7">
        <v>0.9</v>
      </c>
      <c r="AA86" s="6">
        <v>432</v>
      </c>
      <c r="AB86" s="6">
        <v>75</v>
      </c>
      <c r="AC86" s="6">
        <v>130</v>
      </c>
      <c r="AD86" s="6">
        <v>165</v>
      </c>
      <c r="AE86" s="7">
        <v>10</v>
      </c>
    </row>
    <row r="87" spans="25:31" x14ac:dyDescent="0.35">
      <c r="Y87" s="6">
        <v>87</v>
      </c>
      <c r="Z87" s="7">
        <v>0.91</v>
      </c>
      <c r="AA87" s="6">
        <v>430</v>
      </c>
      <c r="AB87" s="6">
        <v>70</v>
      </c>
      <c r="AC87" s="6">
        <v>128</v>
      </c>
      <c r="AD87" s="6">
        <v>164</v>
      </c>
      <c r="AE87" s="7">
        <v>10</v>
      </c>
    </row>
    <row r="88" spans="25:31" x14ac:dyDescent="0.35">
      <c r="Y88" s="6">
        <v>88</v>
      </c>
      <c r="Z88" s="7">
        <v>0.92</v>
      </c>
      <c r="AA88" s="6">
        <v>428</v>
      </c>
      <c r="AB88" s="6">
        <v>65</v>
      </c>
      <c r="AC88" s="6">
        <v>126</v>
      </c>
      <c r="AD88" s="6">
        <v>163</v>
      </c>
      <c r="AE88" s="7">
        <v>10</v>
      </c>
    </row>
    <row r="89" spans="25:31" x14ac:dyDescent="0.35">
      <c r="Y89" s="6">
        <v>89</v>
      </c>
      <c r="Z89" s="7">
        <v>0.93</v>
      </c>
      <c r="AA89" s="6">
        <v>426</v>
      </c>
      <c r="AB89" s="6">
        <v>60</v>
      </c>
      <c r="AC89" s="6">
        <v>124</v>
      </c>
      <c r="AD89" s="6">
        <v>162</v>
      </c>
      <c r="AE89" s="7">
        <v>10</v>
      </c>
    </row>
    <row r="90" spans="25:31" x14ac:dyDescent="0.35">
      <c r="Y90" s="6">
        <v>90</v>
      </c>
      <c r="Z90" s="7">
        <v>0.94</v>
      </c>
      <c r="AA90" s="6">
        <v>424</v>
      </c>
      <c r="AB90" s="6">
        <v>55</v>
      </c>
      <c r="AC90" s="6">
        <v>122</v>
      </c>
      <c r="AD90" s="6">
        <v>161</v>
      </c>
      <c r="AE90" s="7">
        <v>10</v>
      </c>
    </row>
    <row r="91" spans="25:31" x14ac:dyDescent="0.35">
      <c r="Y91" s="6">
        <v>91</v>
      </c>
      <c r="Z91" s="7">
        <v>0.95</v>
      </c>
      <c r="AA91" s="6">
        <v>422</v>
      </c>
      <c r="AB91" s="6">
        <v>50</v>
      </c>
      <c r="AC91" s="6">
        <v>120</v>
      </c>
      <c r="AD91" s="6">
        <v>160</v>
      </c>
      <c r="AE91" s="7">
        <v>10</v>
      </c>
    </row>
    <row r="92" spans="25:31" x14ac:dyDescent="0.35">
      <c r="Y92" s="6">
        <v>92</v>
      </c>
      <c r="Z92" s="7">
        <v>0.96</v>
      </c>
      <c r="AA92" s="6">
        <v>420</v>
      </c>
      <c r="AB92" s="6">
        <v>45</v>
      </c>
      <c r="AC92" s="6">
        <v>118</v>
      </c>
      <c r="AD92" s="6">
        <v>159</v>
      </c>
      <c r="AE92" s="7">
        <v>10</v>
      </c>
    </row>
    <row r="93" spans="25:31" x14ac:dyDescent="0.35">
      <c r="Y93" s="6">
        <v>93</v>
      </c>
      <c r="Z93" s="7">
        <v>0.97</v>
      </c>
      <c r="AA93" s="6">
        <v>418</v>
      </c>
      <c r="AB93" s="6">
        <v>40</v>
      </c>
      <c r="AC93" s="6">
        <v>116</v>
      </c>
      <c r="AD93" s="6">
        <v>158</v>
      </c>
      <c r="AE93" s="7">
        <v>10</v>
      </c>
    </row>
    <row r="94" spans="25:31" x14ac:dyDescent="0.35">
      <c r="Y94" s="6">
        <v>94</v>
      </c>
      <c r="Z94" s="7">
        <v>0.98</v>
      </c>
      <c r="AA94" s="6">
        <v>416</v>
      </c>
      <c r="AB94" s="6">
        <v>35</v>
      </c>
      <c r="AC94" s="6">
        <v>114</v>
      </c>
      <c r="AD94" s="6">
        <v>157</v>
      </c>
      <c r="AE94" s="7">
        <v>10</v>
      </c>
    </row>
    <row r="95" spans="25:31" x14ac:dyDescent="0.35">
      <c r="Y95" s="6">
        <v>95</v>
      </c>
      <c r="Z95" s="7">
        <v>0.99</v>
      </c>
      <c r="AA95" s="6">
        <v>414</v>
      </c>
      <c r="AB95" s="6">
        <v>30</v>
      </c>
      <c r="AC95" s="6">
        <v>112</v>
      </c>
      <c r="AD95" s="6">
        <v>156</v>
      </c>
      <c r="AE95" s="7">
        <v>10</v>
      </c>
    </row>
    <row r="96" spans="25:31" x14ac:dyDescent="0.35">
      <c r="Y96" s="6">
        <v>96</v>
      </c>
      <c r="Z96" s="7">
        <v>1</v>
      </c>
      <c r="AA96" s="6">
        <v>412</v>
      </c>
      <c r="AB96" s="6">
        <v>25</v>
      </c>
      <c r="AC96" s="6">
        <v>110</v>
      </c>
      <c r="AD96" s="6">
        <v>155</v>
      </c>
      <c r="AE96" s="7">
        <v>10</v>
      </c>
    </row>
    <row r="97" spans="25:31" x14ac:dyDescent="0.35">
      <c r="Y97" s="6">
        <v>97</v>
      </c>
      <c r="Z97" s="7">
        <v>1.01</v>
      </c>
      <c r="AA97" s="6">
        <v>410</v>
      </c>
      <c r="AB97" s="6">
        <v>20</v>
      </c>
      <c r="AC97" s="6">
        <v>108</v>
      </c>
      <c r="AD97" s="6">
        <v>154</v>
      </c>
      <c r="AE97" s="7">
        <v>10</v>
      </c>
    </row>
    <row r="98" spans="25:31" x14ac:dyDescent="0.35">
      <c r="Y98" s="6">
        <v>98</v>
      </c>
      <c r="Z98" s="7">
        <v>1.02</v>
      </c>
      <c r="AA98" s="6">
        <v>408</v>
      </c>
      <c r="AB98" s="6">
        <v>15</v>
      </c>
      <c r="AC98" s="6">
        <v>106</v>
      </c>
      <c r="AD98" s="6">
        <v>153</v>
      </c>
      <c r="AE98" s="7">
        <v>10</v>
      </c>
    </row>
    <row r="99" spans="25:31" x14ac:dyDescent="0.35">
      <c r="Y99" s="6">
        <v>99</v>
      </c>
      <c r="Z99" s="7">
        <v>1.03</v>
      </c>
      <c r="AA99" s="6">
        <v>406</v>
      </c>
      <c r="AB99" s="6">
        <v>10</v>
      </c>
      <c r="AC99" s="6">
        <v>104</v>
      </c>
      <c r="AD99" s="6">
        <v>152</v>
      </c>
      <c r="AE99" s="7">
        <v>10</v>
      </c>
    </row>
    <row r="100" spans="25:31" x14ac:dyDescent="0.35">
      <c r="Y100" s="6">
        <v>100</v>
      </c>
      <c r="Z100" s="7">
        <v>1.04</v>
      </c>
      <c r="AA100" s="6">
        <v>404</v>
      </c>
      <c r="AB100" s="6">
        <v>5</v>
      </c>
      <c r="AC100" s="6">
        <v>102</v>
      </c>
      <c r="AD100" s="6">
        <v>151</v>
      </c>
      <c r="AE100" s="7">
        <v>10</v>
      </c>
    </row>
    <row r="101" spans="25:31" x14ac:dyDescent="0.35">
      <c r="Y101" s="6">
        <v>101</v>
      </c>
      <c r="Z101" s="7">
        <v>1.05</v>
      </c>
      <c r="AA101" s="6">
        <v>402</v>
      </c>
      <c r="AB101" s="6">
        <v>0</v>
      </c>
      <c r="AC101" s="6">
        <v>100</v>
      </c>
      <c r="AD101" s="6">
        <v>150</v>
      </c>
      <c r="AE101" s="7">
        <v>10</v>
      </c>
    </row>
    <row r="102" spans="25:31" x14ac:dyDescent="0.35">
      <c r="Y102" s="6">
        <v>102</v>
      </c>
      <c r="Z102" s="7">
        <v>1.06</v>
      </c>
      <c r="AA102" s="6">
        <v>400</v>
      </c>
      <c r="AB102" s="6">
        <v>-5</v>
      </c>
      <c r="AC102" s="6">
        <v>98</v>
      </c>
      <c r="AD102" s="6">
        <v>149</v>
      </c>
      <c r="AE102" s="7">
        <v>10</v>
      </c>
    </row>
    <row r="103" spans="25:31" x14ac:dyDescent="0.35">
      <c r="Y103" s="6">
        <v>103</v>
      </c>
      <c r="Z103" s="7">
        <v>1.07</v>
      </c>
      <c r="AA103" s="6">
        <v>398</v>
      </c>
      <c r="AB103" s="6">
        <v>-10</v>
      </c>
      <c r="AC103" s="6">
        <v>96</v>
      </c>
      <c r="AD103" s="6">
        <v>148</v>
      </c>
      <c r="AE103" s="7">
        <v>10</v>
      </c>
    </row>
    <row r="104" spans="25:31" x14ac:dyDescent="0.35">
      <c r="Y104" s="6">
        <v>104</v>
      </c>
      <c r="Z104" s="7">
        <v>1.08</v>
      </c>
      <c r="AA104" s="6">
        <v>396</v>
      </c>
      <c r="AB104" s="6">
        <v>-15</v>
      </c>
      <c r="AC104" s="6">
        <v>94</v>
      </c>
      <c r="AD104" s="6">
        <v>147</v>
      </c>
      <c r="AE104" s="7">
        <v>10</v>
      </c>
    </row>
    <row r="105" spans="25:31" x14ac:dyDescent="0.35">
      <c r="Y105" s="6">
        <v>105</v>
      </c>
      <c r="Z105" s="7">
        <v>1.0900000000000001</v>
      </c>
      <c r="AA105" s="6">
        <v>394</v>
      </c>
      <c r="AB105" s="6">
        <v>-20</v>
      </c>
      <c r="AC105" s="6">
        <v>92</v>
      </c>
      <c r="AD105" s="6">
        <v>146</v>
      </c>
      <c r="AE105" s="7">
        <v>10</v>
      </c>
    </row>
    <row r="106" spans="25:31" x14ac:dyDescent="0.35">
      <c r="Y106" s="6">
        <v>106</v>
      </c>
      <c r="Z106" s="7">
        <v>1.1000000000000001</v>
      </c>
      <c r="AA106" s="6">
        <v>392</v>
      </c>
      <c r="AB106" s="6">
        <v>-25</v>
      </c>
      <c r="AC106" s="6">
        <v>90</v>
      </c>
      <c r="AD106" s="6">
        <v>145</v>
      </c>
      <c r="AE106" s="7">
        <v>10</v>
      </c>
    </row>
    <row r="107" spans="25:31" x14ac:dyDescent="0.35">
      <c r="Y107" s="6">
        <v>107</v>
      </c>
      <c r="Z107" s="7">
        <v>1.1100000000000001</v>
      </c>
      <c r="AA107" s="6">
        <v>390</v>
      </c>
      <c r="AB107" s="6">
        <v>-30</v>
      </c>
      <c r="AC107" s="6">
        <v>88</v>
      </c>
      <c r="AD107" s="6">
        <v>144</v>
      </c>
      <c r="AE107" s="7">
        <v>10</v>
      </c>
    </row>
    <row r="108" spans="25:31" x14ac:dyDescent="0.35">
      <c r="Y108" s="6">
        <v>108</v>
      </c>
      <c r="Z108" s="7">
        <v>1.1200000000000001</v>
      </c>
      <c r="AA108" s="6">
        <v>388</v>
      </c>
      <c r="AB108" s="6">
        <v>-35</v>
      </c>
      <c r="AC108" s="6">
        <v>86</v>
      </c>
      <c r="AD108" s="6">
        <v>143</v>
      </c>
      <c r="AE108" s="7">
        <v>10</v>
      </c>
    </row>
    <row r="109" spans="25:31" x14ac:dyDescent="0.35">
      <c r="Y109" s="6">
        <v>109</v>
      </c>
      <c r="Z109" s="7">
        <v>1.1299999999999999</v>
      </c>
      <c r="AA109" s="6">
        <v>386</v>
      </c>
      <c r="AB109" s="6">
        <v>-40</v>
      </c>
      <c r="AC109" s="6">
        <v>84</v>
      </c>
      <c r="AD109" s="6">
        <v>142</v>
      </c>
      <c r="AE109" s="7">
        <v>10</v>
      </c>
    </row>
    <row r="110" spans="25:31" x14ac:dyDescent="0.35">
      <c r="Y110" s="6">
        <v>110</v>
      </c>
      <c r="Z110" s="7">
        <v>1.1399999999999999</v>
      </c>
      <c r="AA110" s="6">
        <v>384</v>
      </c>
      <c r="AB110" s="6">
        <v>-45</v>
      </c>
      <c r="AC110" s="6">
        <v>82</v>
      </c>
      <c r="AD110" s="6">
        <v>141</v>
      </c>
      <c r="AE110" s="7">
        <v>10</v>
      </c>
    </row>
    <row r="111" spans="25:31" x14ac:dyDescent="0.35">
      <c r="Y111" s="6">
        <v>111</v>
      </c>
      <c r="Z111" s="7">
        <v>1.1499999999999999</v>
      </c>
      <c r="AA111" s="6">
        <v>382</v>
      </c>
      <c r="AB111" s="6">
        <v>-50</v>
      </c>
      <c r="AC111" s="6">
        <v>80</v>
      </c>
      <c r="AD111" s="6">
        <v>140</v>
      </c>
      <c r="AE111" s="7">
        <v>10</v>
      </c>
    </row>
    <row r="112" spans="25:31" x14ac:dyDescent="0.35">
      <c r="Y112" s="6">
        <v>112</v>
      </c>
      <c r="Z112" s="7">
        <v>1.1599999999999999</v>
      </c>
      <c r="AA112" s="6">
        <v>380</v>
      </c>
      <c r="AB112" s="6">
        <v>-55</v>
      </c>
      <c r="AC112" s="6">
        <v>78</v>
      </c>
      <c r="AD112" s="6">
        <v>139</v>
      </c>
      <c r="AE112" s="7">
        <v>10</v>
      </c>
    </row>
    <row r="113" spans="25:31" x14ac:dyDescent="0.35">
      <c r="Y113" s="6">
        <v>113</v>
      </c>
      <c r="Z113" s="7">
        <v>1.17</v>
      </c>
      <c r="AA113" s="6">
        <v>378</v>
      </c>
      <c r="AB113" s="6">
        <v>-60</v>
      </c>
      <c r="AC113" s="6">
        <v>76</v>
      </c>
      <c r="AD113" s="6">
        <v>138</v>
      </c>
      <c r="AE113" s="7">
        <v>10</v>
      </c>
    </row>
    <row r="114" spans="25:31" x14ac:dyDescent="0.35">
      <c r="Y114" s="6">
        <v>114</v>
      </c>
      <c r="Z114" s="7">
        <v>1.18</v>
      </c>
      <c r="AA114" s="6">
        <v>376</v>
      </c>
      <c r="AB114" s="6">
        <v>-65</v>
      </c>
      <c r="AC114" s="6">
        <v>74</v>
      </c>
      <c r="AD114" s="6">
        <v>137</v>
      </c>
      <c r="AE114" s="7">
        <v>10</v>
      </c>
    </row>
    <row r="115" spans="25:31" x14ac:dyDescent="0.35">
      <c r="Y115" s="6">
        <v>115</v>
      </c>
      <c r="Z115" s="7">
        <v>1.19</v>
      </c>
      <c r="AA115" s="6">
        <v>374</v>
      </c>
      <c r="AB115" s="6">
        <v>-70</v>
      </c>
      <c r="AC115" s="6">
        <v>72</v>
      </c>
      <c r="AD115" s="6">
        <v>136</v>
      </c>
      <c r="AE115" s="7">
        <v>10</v>
      </c>
    </row>
    <row r="116" spans="25:31" x14ac:dyDescent="0.35">
      <c r="Y116" s="6">
        <v>116</v>
      </c>
      <c r="Z116" s="7">
        <v>1.2</v>
      </c>
      <c r="AA116" s="6">
        <v>372</v>
      </c>
      <c r="AB116" s="6">
        <v>-75</v>
      </c>
      <c r="AC116" s="6">
        <v>70</v>
      </c>
      <c r="AD116" s="6">
        <v>135</v>
      </c>
      <c r="AE116" s="7">
        <v>10</v>
      </c>
    </row>
    <row r="117" spans="25:31" x14ac:dyDescent="0.35">
      <c r="Y117" s="6">
        <v>117</v>
      </c>
      <c r="Z117" s="7">
        <v>1.21</v>
      </c>
      <c r="AA117" s="6">
        <v>370</v>
      </c>
      <c r="AB117" s="6">
        <v>-80</v>
      </c>
      <c r="AC117" s="6">
        <v>68</v>
      </c>
      <c r="AD117" s="6">
        <v>134</v>
      </c>
      <c r="AE117" s="7">
        <v>10</v>
      </c>
    </row>
    <row r="118" spans="25:31" x14ac:dyDescent="0.35">
      <c r="Y118" s="6">
        <v>118</v>
      </c>
      <c r="Z118" s="7">
        <v>1.22</v>
      </c>
      <c r="AA118" s="6">
        <v>368</v>
      </c>
      <c r="AB118" s="6">
        <v>-85</v>
      </c>
      <c r="AC118" s="6">
        <v>66</v>
      </c>
      <c r="AD118" s="6">
        <v>133</v>
      </c>
      <c r="AE118" s="7">
        <v>10</v>
      </c>
    </row>
    <row r="119" spans="25:31" x14ac:dyDescent="0.35">
      <c r="Y119" s="6">
        <v>119</v>
      </c>
      <c r="Z119" s="7">
        <v>1.23</v>
      </c>
      <c r="AA119" s="6">
        <v>366</v>
      </c>
      <c r="AB119" s="6">
        <v>-90</v>
      </c>
      <c r="AC119" s="6">
        <v>64</v>
      </c>
      <c r="AD119" s="6">
        <v>132</v>
      </c>
      <c r="AE119" s="7">
        <v>10</v>
      </c>
    </row>
    <row r="120" spans="25:31" x14ac:dyDescent="0.35">
      <c r="Y120" s="6">
        <v>120</v>
      </c>
      <c r="Z120" s="7">
        <v>1.24</v>
      </c>
      <c r="AA120" s="6">
        <v>364</v>
      </c>
      <c r="AB120" s="6">
        <v>-95</v>
      </c>
      <c r="AC120" s="6">
        <v>62</v>
      </c>
      <c r="AD120" s="6">
        <v>131</v>
      </c>
      <c r="AE120" s="7">
        <v>10</v>
      </c>
    </row>
    <row r="121" spans="25:31" x14ac:dyDescent="0.35">
      <c r="Y121" s="6">
        <v>121</v>
      </c>
      <c r="Z121" s="7">
        <v>1.25</v>
      </c>
      <c r="AA121" s="6">
        <v>362</v>
      </c>
      <c r="AB121" s="6">
        <v>-100</v>
      </c>
      <c r="AC121" s="6">
        <v>60</v>
      </c>
      <c r="AD121" s="6">
        <v>130</v>
      </c>
      <c r="AE121" s="7">
        <v>10</v>
      </c>
    </row>
    <row r="122" spans="25:31" x14ac:dyDescent="0.35">
      <c r="Y122" s="6">
        <v>122</v>
      </c>
      <c r="Z122" s="7">
        <v>1.26</v>
      </c>
      <c r="AA122" s="6">
        <v>360</v>
      </c>
      <c r="AB122" s="6">
        <v>-105</v>
      </c>
      <c r="AC122" s="6">
        <v>58</v>
      </c>
      <c r="AD122" s="6">
        <v>129</v>
      </c>
      <c r="AE122" s="7">
        <v>10</v>
      </c>
    </row>
    <row r="123" spans="25:31" x14ac:dyDescent="0.35">
      <c r="Y123" s="6">
        <v>123</v>
      </c>
      <c r="Z123" s="7">
        <v>1.27</v>
      </c>
      <c r="AA123" s="6">
        <v>358</v>
      </c>
      <c r="AB123" s="6">
        <v>-110</v>
      </c>
      <c r="AC123" s="6">
        <v>56</v>
      </c>
      <c r="AD123" s="6">
        <v>128</v>
      </c>
      <c r="AE123" s="7">
        <v>10</v>
      </c>
    </row>
    <row r="124" spans="25:31" x14ac:dyDescent="0.35">
      <c r="Y124" s="6">
        <v>124</v>
      </c>
      <c r="Z124" s="7">
        <v>1.28</v>
      </c>
      <c r="AA124" s="6">
        <v>356</v>
      </c>
      <c r="AB124" s="6">
        <v>-115</v>
      </c>
      <c r="AC124" s="6">
        <v>54</v>
      </c>
      <c r="AD124" s="6">
        <v>127</v>
      </c>
      <c r="AE124" s="7">
        <v>10</v>
      </c>
    </row>
    <row r="125" spans="25:31" x14ac:dyDescent="0.35">
      <c r="Y125" s="6">
        <v>125</v>
      </c>
      <c r="Z125" s="7">
        <v>1.29</v>
      </c>
      <c r="AA125" s="6">
        <v>354</v>
      </c>
      <c r="AB125" s="6">
        <v>-120</v>
      </c>
      <c r="AC125" s="6">
        <v>52</v>
      </c>
      <c r="AD125" s="6">
        <v>126</v>
      </c>
      <c r="AE125" s="7">
        <v>10</v>
      </c>
    </row>
    <row r="126" spans="25:31" x14ac:dyDescent="0.35">
      <c r="Y126" s="6">
        <v>126</v>
      </c>
      <c r="Z126" s="7">
        <v>1.3</v>
      </c>
      <c r="AA126" s="6">
        <v>352</v>
      </c>
      <c r="AB126" s="6">
        <v>-125</v>
      </c>
      <c r="AC126" s="6">
        <v>50</v>
      </c>
      <c r="AD126" s="6">
        <v>125</v>
      </c>
      <c r="AE126" s="7">
        <v>10</v>
      </c>
    </row>
    <row r="127" spans="25:31" x14ac:dyDescent="0.35">
      <c r="Y127" s="6">
        <v>127</v>
      </c>
      <c r="Z127" s="7">
        <v>1.31</v>
      </c>
      <c r="AA127" s="6">
        <v>350</v>
      </c>
      <c r="AB127" s="6">
        <v>-130</v>
      </c>
      <c r="AC127" s="6">
        <v>48</v>
      </c>
      <c r="AD127" s="6">
        <v>124</v>
      </c>
      <c r="AE127" s="7">
        <v>10</v>
      </c>
    </row>
    <row r="128" spans="25:31" x14ac:dyDescent="0.35">
      <c r="Y128" s="6">
        <v>128</v>
      </c>
      <c r="Z128" s="7">
        <v>1.32</v>
      </c>
      <c r="AA128" s="6">
        <v>348</v>
      </c>
      <c r="AB128" s="6">
        <v>-135</v>
      </c>
      <c r="AC128" s="6">
        <v>46</v>
      </c>
      <c r="AD128" s="6">
        <v>123</v>
      </c>
      <c r="AE128" s="7">
        <v>10</v>
      </c>
    </row>
    <row r="129" spans="25:31" x14ac:dyDescent="0.35">
      <c r="Y129" s="6">
        <v>129</v>
      </c>
      <c r="Z129" s="7">
        <v>1.33</v>
      </c>
      <c r="AA129" s="6">
        <v>346</v>
      </c>
      <c r="AB129" s="6">
        <v>-140</v>
      </c>
      <c r="AC129" s="6">
        <v>44</v>
      </c>
      <c r="AD129" s="6">
        <v>122</v>
      </c>
      <c r="AE129" s="7">
        <v>10</v>
      </c>
    </row>
    <row r="130" spans="25:31" x14ac:dyDescent="0.35">
      <c r="Y130" s="6">
        <v>130</v>
      </c>
      <c r="Z130" s="7">
        <v>1.34</v>
      </c>
      <c r="AA130" s="6">
        <v>344</v>
      </c>
      <c r="AB130" s="6">
        <v>-145</v>
      </c>
      <c r="AC130" s="6">
        <v>42</v>
      </c>
      <c r="AD130" s="6">
        <v>121</v>
      </c>
      <c r="AE130" s="7">
        <v>10</v>
      </c>
    </row>
    <row r="131" spans="25:31" x14ac:dyDescent="0.35">
      <c r="Y131" s="6">
        <v>131</v>
      </c>
      <c r="Z131" s="7">
        <v>1.35</v>
      </c>
      <c r="AA131" s="6">
        <v>342</v>
      </c>
      <c r="AB131" s="6">
        <v>-150</v>
      </c>
      <c r="AC131" s="6">
        <v>40</v>
      </c>
      <c r="AD131" s="6">
        <v>120</v>
      </c>
      <c r="AE131" s="7">
        <v>10</v>
      </c>
    </row>
    <row r="132" spans="25:31" x14ac:dyDescent="0.35">
      <c r="Y132" s="6">
        <v>132</v>
      </c>
      <c r="Z132" s="7">
        <v>1.36</v>
      </c>
      <c r="AA132" s="6">
        <v>340</v>
      </c>
      <c r="AB132" s="6">
        <v>-155</v>
      </c>
      <c r="AC132" s="6">
        <v>38</v>
      </c>
      <c r="AD132" s="6">
        <v>119</v>
      </c>
      <c r="AE132" s="7">
        <v>10</v>
      </c>
    </row>
    <row r="133" spans="25:31" x14ac:dyDescent="0.35">
      <c r="Y133" s="6">
        <v>133</v>
      </c>
      <c r="Z133" s="7">
        <v>1.37</v>
      </c>
      <c r="AA133" s="6">
        <v>338</v>
      </c>
      <c r="AB133" s="6">
        <v>-160</v>
      </c>
      <c r="AC133" s="6">
        <v>36</v>
      </c>
      <c r="AD133" s="6">
        <v>118</v>
      </c>
      <c r="AE133" s="7">
        <v>10</v>
      </c>
    </row>
    <row r="134" spans="25:31" x14ac:dyDescent="0.35">
      <c r="Y134" s="6">
        <v>134</v>
      </c>
      <c r="Z134" s="7">
        <v>1.38</v>
      </c>
      <c r="AA134" s="6">
        <v>336</v>
      </c>
      <c r="AB134" s="6">
        <v>-165</v>
      </c>
      <c r="AC134" s="6">
        <v>34</v>
      </c>
      <c r="AD134" s="6">
        <v>117</v>
      </c>
      <c r="AE134" s="7">
        <v>10</v>
      </c>
    </row>
    <row r="135" spans="25:31" x14ac:dyDescent="0.35">
      <c r="Y135" s="6">
        <v>135</v>
      </c>
      <c r="Z135" s="7">
        <v>1.39</v>
      </c>
      <c r="AA135" s="6">
        <v>334</v>
      </c>
      <c r="AB135" s="6">
        <v>-170</v>
      </c>
      <c r="AC135" s="6">
        <v>32</v>
      </c>
      <c r="AD135" s="6">
        <v>116</v>
      </c>
      <c r="AE135" s="7">
        <v>10</v>
      </c>
    </row>
    <row r="136" spans="25:31" x14ac:dyDescent="0.35">
      <c r="Y136" s="6">
        <v>136</v>
      </c>
      <c r="Z136" s="7">
        <v>1.4</v>
      </c>
      <c r="AA136" s="6">
        <v>332</v>
      </c>
      <c r="AB136" s="6">
        <v>-175</v>
      </c>
      <c r="AC136" s="6">
        <v>30</v>
      </c>
      <c r="AD136" s="6">
        <v>115</v>
      </c>
      <c r="AE136" s="7">
        <v>10</v>
      </c>
    </row>
    <row r="137" spans="25:31" x14ac:dyDescent="0.35">
      <c r="Y137" s="6">
        <v>137</v>
      </c>
      <c r="Z137" s="7">
        <v>1.41</v>
      </c>
      <c r="AA137" s="6">
        <v>330</v>
      </c>
      <c r="AB137" s="6">
        <v>-180</v>
      </c>
      <c r="AC137" s="6">
        <v>28</v>
      </c>
      <c r="AD137" s="6">
        <v>114</v>
      </c>
      <c r="AE137" s="7">
        <v>10</v>
      </c>
    </row>
    <row r="138" spans="25:31" x14ac:dyDescent="0.35">
      <c r="Y138" s="6">
        <v>138</v>
      </c>
      <c r="Z138" s="7">
        <v>1.42</v>
      </c>
      <c r="AA138" s="6">
        <v>328</v>
      </c>
      <c r="AB138" s="6">
        <v>-185</v>
      </c>
      <c r="AC138" s="6">
        <v>26</v>
      </c>
      <c r="AD138" s="6">
        <v>113</v>
      </c>
      <c r="AE138" s="7">
        <v>10</v>
      </c>
    </row>
    <row r="139" spans="25:31" x14ac:dyDescent="0.35">
      <c r="Y139" s="6">
        <v>139</v>
      </c>
      <c r="Z139" s="7">
        <v>1.43</v>
      </c>
      <c r="AA139" s="6">
        <v>326</v>
      </c>
      <c r="AB139" s="6">
        <v>-190</v>
      </c>
      <c r="AC139" s="6">
        <v>24</v>
      </c>
      <c r="AD139" s="6">
        <v>112</v>
      </c>
      <c r="AE139" s="7">
        <v>10</v>
      </c>
    </row>
    <row r="140" spans="25:31" x14ac:dyDescent="0.35">
      <c r="Y140" s="6">
        <v>140</v>
      </c>
      <c r="Z140" s="7">
        <v>1.44</v>
      </c>
      <c r="AA140" s="6">
        <v>324</v>
      </c>
      <c r="AB140" s="6">
        <v>-195</v>
      </c>
      <c r="AC140" s="6">
        <v>22</v>
      </c>
      <c r="AD140" s="6">
        <v>111</v>
      </c>
      <c r="AE140" s="7">
        <v>10</v>
      </c>
    </row>
    <row r="141" spans="25:31" x14ac:dyDescent="0.35">
      <c r="Y141" s="6">
        <v>141</v>
      </c>
      <c r="Z141" s="7">
        <v>1.45</v>
      </c>
      <c r="AA141" s="6">
        <v>322</v>
      </c>
      <c r="AB141" s="6">
        <v>-200</v>
      </c>
      <c r="AC141" s="6">
        <v>20</v>
      </c>
      <c r="AD141" s="6">
        <v>110</v>
      </c>
      <c r="AE141" s="7">
        <v>10</v>
      </c>
    </row>
    <row r="142" spans="25:31" x14ac:dyDescent="0.35">
      <c r="Y142" s="6">
        <v>142</v>
      </c>
      <c r="Z142" s="7">
        <v>1.46</v>
      </c>
      <c r="AA142" s="6">
        <v>320</v>
      </c>
      <c r="AB142" s="6">
        <v>-205</v>
      </c>
      <c r="AC142" s="6">
        <v>18</v>
      </c>
      <c r="AD142" s="6">
        <v>109</v>
      </c>
      <c r="AE142" s="7">
        <v>10</v>
      </c>
    </row>
    <row r="143" spans="25:31" x14ac:dyDescent="0.35">
      <c r="Y143" s="6">
        <v>143</v>
      </c>
      <c r="Z143" s="7">
        <v>1.47</v>
      </c>
      <c r="AA143" s="6">
        <v>318</v>
      </c>
      <c r="AB143" s="6">
        <v>-210</v>
      </c>
      <c r="AC143" s="6">
        <v>16</v>
      </c>
      <c r="AD143" s="6">
        <v>108</v>
      </c>
      <c r="AE143" s="7">
        <v>10</v>
      </c>
    </row>
    <row r="144" spans="25:31" x14ac:dyDescent="0.35">
      <c r="Y144" s="6">
        <v>144</v>
      </c>
      <c r="Z144" s="7">
        <v>1.48</v>
      </c>
      <c r="AA144" s="6">
        <v>316</v>
      </c>
      <c r="AB144" s="6">
        <v>-215</v>
      </c>
      <c r="AC144" s="6">
        <v>14</v>
      </c>
      <c r="AD144" s="6">
        <v>107</v>
      </c>
      <c r="AE144" s="7">
        <v>10</v>
      </c>
    </row>
    <row r="145" spans="25:31" x14ac:dyDescent="0.35">
      <c r="Y145" s="6">
        <v>145</v>
      </c>
      <c r="Z145" s="7">
        <v>1.49</v>
      </c>
      <c r="AA145" s="6">
        <v>314</v>
      </c>
      <c r="AB145" s="6">
        <v>-220</v>
      </c>
      <c r="AC145" s="6">
        <v>12</v>
      </c>
      <c r="AD145" s="6">
        <v>106</v>
      </c>
      <c r="AE145" s="7">
        <v>10</v>
      </c>
    </row>
    <row r="146" spans="25:31" x14ac:dyDescent="0.35">
      <c r="Y146" s="6">
        <v>146</v>
      </c>
      <c r="Z146" s="7">
        <v>1.5</v>
      </c>
      <c r="AA146" s="6">
        <v>312</v>
      </c>
      <c r="AB146" s="6">
        <v>-225</v>
      </c>
      <c r="AC146" s="6">
        <v>10</v>
      </c>
      <c r="AD146" s="6">
        <v>105</v>
      </c>
      <c r="AE146" s="7">
        <v>10</v>
      </c>
    </row>
    <row r="147" spans="25:31" x14ac:dyDescent="0.35">
      <c r="Y147" s="6">
        <v>147</v>
      </c>
      <c r="Z147" s="7">
        <v>1.51</v>
      </c>
      <c r="AA147" s="6">
        <v>310</v>
      </c>
      <c r="AB147" s="6">
        <v>-230</v>
      </c>
      <c r="AC147" s="6">
        <v>8</v>
      </c>
      <c r="AD147" s="6">
        <v>104</v>
      </c>
      <c r="AE147" s="7">
        <v>10</v>
      </c>
    </row>
    <row r="148" spans="25:31" x14ac:dyDescent="0.35">
      <c r="Y148" s="6">
        <v>148</v>
      </c>
      <c r="Z148" s="7">
        <v>1.52</v>
      </c>
      <c r="AA148" s="6">
        <v>308</v>
      </c>
      <c r="AB148" s="6">
        <v>-235</v>
      </c>
      <c r="AC148" s="6">
        <v>6</v>
      </c>
      <c r="AD148" s="6">
        <v>103</v>
      </c>
      <c r="AE148" s="7">
        <v>10</v>
      </c>
    </row>
    <row r="149" spans="25:31" x14ac:dyDescent="0.35">
      <c r="Y149" s="6">
        <v>149</v>
      </c>
      <c r="Z149" s="7">
        <v>1.53</v>
      </c>
      <c r="AA149" s="6">
        <v>306</v>
      </c>
      <c r="AB149" s="6">
        <v>-240</v>
      </c>
      <c r="AC149" s="6">
        <v>4</v>
      </c>
      <c r="AD149" s="6">
        <v>102</v>
      </c>
      <c r="AE149" s="7">
        <v>10</v>
      </c>
    </row>
    <row r="150" spans="25:31" x14ac:dyDescent="0.35">
      <c r="Y150" s="6">
        <v>150</v>
      </c>
      <c r="Z150" s="7">
        <v>1.54</v>
      </c>
      <c r="AA150" s="6">
        <v>304</v>
      </c>
      <c r="AB150" s="6">
        <v>-245</v>
      </c>
      <c r="AC150" s="6">
        <v>2</v>
      </c>
      <c r="AD150" s="6">
        <v>101</v>
      </c>
      <c r="AE150" s="7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costas</dc:creator>
  <cp:lastModifiedBy>user</cp:lastModifiedBy>
  <dcterms:created xsi:type="dcterms:W3CDTF">2014-03-07T12:46:46Z</dcterms:created>
  <dcterms:modified xsi:type="dcterms:W3CDTF">2020-03-23T14:30:27Z</dcterms:modified>
</cp:coreProperties>
</file>