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mathma\ΔΙΔ_ωΠΜΣ_ΕΡΓΑ_ΥΠΟΔΟΜΩΝ_ΑΣΤ_ΠΕΡΙΒΑΛ_εαρ\ΔΙΑΛΕΞΕΙΣ\"/>
    </mc:Choice>
  </mc:AlternateContent>
  <xr:revisionPtr revIDLastSave="0" documentId="13_ncr:1_{C39504A9-A6BC-4CCA-A353-F0432745E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ΛΥΜ_2026m" sheetId="17" r:id="rId1"/>
    <sheet name="ΟΜΒ_2026m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8" l="1"/>
  <c r="Q12" i="18" s="1"/>
  <c r="G12" i="18"/>
  <c r="H12" i="18" s="1"/>
  <c r="O12" i="18"/>
  <c r="K11" i="18"/>
  <c r="Q11" i="18"/>
  <c r="G11" i="18"/>
  <c r="H11" i="18"/>
  <c r="O11" i="18"/>
  <c r="K10" i="18"/>
  <c r="Q10" i="18"/>
  <c r="G10" i="18"/>
  <c r="H10" i="18" s="1"/>
  <c r="K9" i="18"/>
  <c r="Q9" i="18"/>
  <c r="G9" i="18"/>
  <c r="H9" i="18" s="1"/>
  <c r="O9" i="18"/>
  <c r="K8" i="18"/>
  <c r="Q8" i="18" s="1"/>
  <c r="G8" i="18"/>
  <c r="H8" i="18" s="1"/>
  <c r="K7" i="18"/>
  <c r="Q7" i="18"/>
  <c r="G7" i="18"/>
  <c r="H7" i="18" s="1"/>
  <c r="O7" i="18"/>
  <c r="K6" i="18"/>
  <c r="Q6" i="18" s="1"/>
  <c r="G6" i="18"/>
  <c r="H6" i="18" s="1"/>
  <c r="N4" i="18"/>
  <c r="N6" i="18"/>
  <c r="N7" i="18"/>
  <c r="N8" i="18"/>
  <c r="N9" i="18"/>
  <c r="N10" i="18"/>
  <c r="N11" i="18"/>
  <c r="N12" i="18"/>
  <c r="K4" i="18"/>
  <c r="Q4" i="18" s="1"/>
  <c r="H4" i="18"/>
  <c r="G4" i="18"/>
  <c r="O4" i="18"/>
  <c r="N3" i="18"/>
  <c r="K3" i="18"/>
  <c r="Q3" i="18"/>
  <c r="F4" i="18"/>
  <c r="F6" i="18"/>
  <c r="F7" i="18"/>
  <c r="F8" i="18"/>
  <c r="F9" i="18"/>
  <c r="F10" i="18"/>
  <c r="F11" i="18"/>
  <c r="F12" i="18"/>
  <c r="C12" i="18"/>
  <c r="C11" i="18"/>
  <c r="C10" i="18"/>
  <c r="C9" i="18"/>
  <c r="C8" i="18"/>
  <c r="C7" i="18"/>
  <c r="C6" i="18"/>
  <c r="C4" i="18"/>
  <c r="C3" i="18"/>
  <c r="B29" i="18"/>
  <c r="B14" i="18"/>
  <c r="G3" i="18"/>
  <c r="M12" i="17"/>
  <c r="Q12" i="17"/>
  <c r="M11" i="17"/>
  <c r="Q11" i="17"/>
  <c r="M10" i="17"/>
  <c r="Q10" i="17" s="1"/>
  <c r="M9" i="17"/>
  <c r="Q9" i="17" s="1"/>
  <c r="M8" i="17"/>
  <c r="M7" i="17"/>
  <c r="Q7" i="17" s="1"/>
  <c r="M6" i="17"/>
  <c r="Q6" i="17" s="1"/>
  <c r="M5" i="17"/>
  <c r="Q5" i="17"/>
  <c r="M4" i="17"/>
  <c r="Q4" i="17"/>
  <c r="Q8" i="17"/>
  <c r="Q3" i="17"/>
  <c r="M3" i="17"/>
  <c r="I4" i="17"/>
  <c r="I5" i="17"/>
  <c r="I6" i="17"/>
  <c r="I7" i="17"/>
  <c r="I8" i="17"/>
  <c r="I9" i="17"/>
  <c r="I10" i="17"/>
  <c r="I11" i="17"/>
  <c r="I12" i="17"/>
  <c r="I3" i="17"/>
  <c r="B14" i="17"/>
  <c r="C12" i="17"/>
  <c r="C11" i="17"/>
  <c r="C10" i="17"/>
  <c r="C9" i="17"/>
  <c r="C8" i="17"/>
  <c r="C7" i="17"/>
  <c r="C6" i="17"/>
  <c r="C5" i="17"/>
  <c r="C4" i="17"/>
  <c r="C3" i="17"/>
  <c r="D24" i="17"/>
  <c r="E24" i="17" s="1"/>
  <c r="B30" i="18" l="1"/>
  <c r="B31" i="18"/>
  <c r="F3" i="18"/>
  <c r="H3" i="18" s="1"/>
  <c r="D4" i="17"/>
  <c r="H4" i="17" s="1"/>
  <c r="D5" i="17"/>
  <c r="H5" i="17" s="1"/>
  <c r="D6" i="17"/>
  <c r="H6" i="17" s="1"/>
  <c r="D7" i="17"/>
  <c r="H7" i="17" s="1"/>
  <c r="D9" i="17"/>
  <c r="H9" i="17" s="1"/>
  <c r="D10" i="17"/>
  <c r="H10" i="17" s="1"/>
  <c r="D11" i="17"/>
  <c r="H11" i="17" s="1"/>
  <c r="D12" i="17"/>
  <c r="H12" i="17" s="1"/>
  <c r="D3" i="17"/>
  <c r="H3" i="17" s="1"/>
  <c r="D8" i="17"/>
  <c r="H8" i="17" s="1"/>
  <c r="J4" i="17" l="1"/>
  <c r="J5" i="17"/>
  <c r="J6" i="17"/>
  <c r="J7" i="17"/>
  <c r="J9" i="17"/>
  <c r="J10" i="17"/>
  <c r="J11" i="17"/>
  <c r="J12" i="17"/>
  <c r="J3" i="17"/>
  <c r="J8" i="17"/>
</calcChain>
</file>

<file path=xl/sharedStrings.xml><?xml version="1.0" encoding="utf-8"?>
<sst xmlns="http://schemas.openxmlformats.org/spreadsheetml/2006/main" count="89" uniqueCount="78">
  <si>
    <t>ΑΓΩΓΟΙ</t>
  </si>
  <si>
    <t>ΕΜΒΑΔΟΝ (ha)</t>
  </si>
  <si>
    <t>i*2.7777</t>
  </si>
  <si>
    <t>ΚΛΙΣΗ  (%)</t>
  </si>
  <si>
    <t>Qτελ (l/sec)</t>
  </si>
  <si>
    <t>ΔΙΑΜΕΤΡΟΣ (mm)</t>
  </si>
  <si>
    <t>ΠΟΣΟΣΤΟ ΠΛΗΡΩΣΗΣ (%)</t>
  </si>
  <si>
    <t>ΤΑΧΥΤΗΤΑ (m/sec)</t>
  </si>
  <si>
    <t>ΜΕΡΙΚΟΣ ΧΡΟΝΟΣ (min)</t>
  </si>
  <si>
    <t>ΟΛΙΚΟΣ ΧΡΟΝΟΣ (min)</t>
  </si>
  <si>
    <t>Q (l/sec/ha)</t>
  </si>
  <si>
    <t>P αιχμής</t>
  </si>
  <si>
    <t>ΛΥΜΑΤΑ</t>
  </si>
  <si>
    <t>ΕΣΩΤΕΡΙΚΗ ΔΙΑΜΕΤΡΟΣ</t>
  </si>
  <si>
    <t>ΔΕΔΟΜΕΝΑ</t>
  </si>
  <si>
    <t>ΕΜΒΑΔΟΝ αθρ (ha)</t>
  </si>
  <si>
    <t>CΓ = 0.3</t>
  </si>
  <si>
    <t>ΣC*F</t>
  </si>
  <si>
    <t>ΣΡκ</t>
  </si>
  <si>
    <t>ΡΠκ</t>
  </si>
  <si>
    <t>ΥΤδ</t>
  </si>
  <si>
    <t>ΤΠδ</t>
  </si>
  <si>
    <t>ΠΛκ</t>
  </si>
  <si>
    <t>ΞΝδ</t>
  </si>
  <si>
    <t>ΝΜδ</t>
  </si>
  <si>
    <t>ΟΜδ</t>
  </si>
  <si>
    <t>ΜΛδ</t>
  </si>
  <si>
    <t>ΛΚκ</t>
  </si>
  <si>
    <t>ΕΛΑΧΙΣΤΗ ΚΛΙΣΗ %</t>
  </si>
  <si>
    <t>Q μερικής πληρώσεως (L/s)</t>
  </si>
  <si>
    <t>Κλίσεις &lt; 0.1% δύσκολα υλοποιούνται κατασκευαστικά</t>
  </si>
  <si>
    <r>
      <t xml:space="preserve">ΣΩΛΗΝΕΣ PVC - ΟΜΒΡΙΑ  </t>
    </r>
    <r>
      <rPr>
        <b/>
        <sz val="12"/>
        <color rgb="FFFF0000"/>
        <rFont val="Calibri"/>
        <family val="2"/>
        <charset val="161"/>
        <scheme val="minor"/>
      </rPr>
      <t>0.6 m/s &lt; ταχύτητα &lt; 6.0 m/s</t>
    </r>
  </si>
  <si>
    <t>ΠΛΗΡΩΣΗ</t>
  </si>
  <si>
    <t>Η ελάχιστη κλίση δίνει για το 1/10 της παροχής ταχύτητα &gt; 0.6 m/s (n=0.015)</t>
  </si>
  <si>
    <t>Η Q μερικής πληρώσ.υπολογίσθηκε από ελάχιστη κλίση και μέγιστη επιτρ.πλήρωση (n=0.015)</t>
  </si>
  <si>
    <t xml:space="preserve">Πολύ μικρή κλίση </t>
  </si>
  <si>
    <t>από εδώ και κάτω</t>
  </si>
  <si>
    <t>ΠΥΚΝΟΤΗΤΑ ΠΛΗΘΥΣΜΟΥ (κάτ/ha)</t>
  </si>
  <si>
    <t>ΜΕΣΗ ΗΜΕΡ. ΚΑΤΑΝΑΛΩΣΗ (l/κατ/ημέρ)</t>
  </si>
  <si>
    <t xml:space="preserve">Για τη μεταφορά των ομβρίων και λυμάτων  από το Κ στο Ζ, θα κατασκευαστεί αγωγός που θα περάσει μέσα από το ποτάμι, </t>
  </si>
  <si>
    <t>υποβρύχιος, με ελάχιστη κλίση.</t>
  </si>
  <si>
    <t>ΣΩΛΗΝΕΣ PVC - ΛΥΜΑΤΑ</t>
  </si>
  <si>
    <t>ΠΟΣΟΣΤΟ ΠΛΗΡΩΣΗΣ</t>
  </si>
  <si>
    <t>ΕΞΩΤΕΡΙΚΗ ΔΙΑΜΕΤΡΟΣ</t>
  </si>
  <si>
    <t>0.3 m/s &lt; ταχύτητα &lt; 3.0 m/s</t>
  </si>
  <si>
    <t>Η ελάχιστη κλίση δίνει για το 1/10 της παροχής ταχύτητα &gt; 0.3 m/s</t>
  </si>
  <si>
    <t>Η Q μερικής πληρώσ.υπολογίσθηκε από ελάχιστη κλίση και μέγιστη επιτρ.πλήρωση</t>
  </si>
  <si>
    <t>QΗ (l/sec/ha)</t>
  </si>
  <si>
    <t>Τομέας Β</t>
  </si>
  <si>
    <t>Εμβαδό (ha)</t>
  </si>
  <si>
    <t>Εμβ. αθροισ (ha)</t>
  </si>
  <si>
    <t>Q (l/s/ha)</t>
  </si>
  <si>
    <t>ΞΕΝΑ ΝΕΡΑ %</t>
  </si>
  <si>
    <t>ΜΗΚΟΣ (m)</t>
  </si>
  <si>
    <t>ΣΡ</t>
  </si>
  <si>
    <t>ΡΠ</t>
  </si>
  <si>
    <t>ΥΤ</t>
  </si>
  <si>
    <t>ΤΠ</t>
  </si>
  <si>
    <t>ΠΛ</t>
  </si>
  <si>
    <t>ΞΝ</t>
  </si>
  <si>
    <t>ΝΜ</t>
  </si>
  <si>
    <t>ΟΜ</t>
  </si>
  <si>
    <t>ΜΛ</t>
  </si>
  <si>
    <t>ΛΚ</t>
  </si>
  <si>
    <t xml:space="preserve">ΟΜΒΡΙΑ </t>
  </si>
  <si>
    <t>ΕΛΑΧΙΣΤΗ ΤΑΧΥΤΗΤΑ (m/sec)</t>
  </si>
  <si>
    <t>QH (l/sec)</t>
  </si>
  <si>
    <t>Περίοδος επαναφ Τ (ετη)</t>
  </si>
  <si>
    <t>περίοδος επαναφοράς Τ (έτη)</t>
  </si>
  <si>
    <t>διάρκεια βροχής k (h)</t>
  </si>
  <si>
    <t>ένταση βροχής x (mm/h)</t>
  </si>
  <si>
    <t>Ύψος βροχής (mm)</t>
  </si>
  <si>
    <t>α=0.18h</t>
  </si>
  <si>
    <t>η*</t>
  </si>
  <si>
    <t>ξ=0.18</t>
  </si>
  <si>
    <t>λ*</t>
  </si>
  <si>
    <t>β*</t>
  </si>
  <si>
    <t>Περιοχή Ξάνθης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</si>
</sst>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6" fillId="0" borderId="7" xfId="0" applyFont="1" applyBorder="1"/>
    <xf numFmtId="1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7" fillId="0" borderId="0" xfId="0" applyFont="1"/>
    <xf numFmtId="0" fontId="14" fillId="7" borderId="8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165" fontId="18" fillId="7" borderId="1" xfId="0" applyNumberFormat="1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165" fontId="13" fillId="7" borderId="1" xfId="0" applyNumberFormat="1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165" fontId="18" fillId="7" borderId="2" xfId="0" applyNumberFormat="1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6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5" xfId="0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0" xfId="0" quotePrefix="1" applyFont="1"/>
    <xf numFmtId="0" fontId="20" fillId="3" borderId="2" xfId="0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7" borderId="0" xfId="0" applyFont="1" applyFill="1"/>
    <xf numFmtId="0" fontId="0" fillId="7" borderId="1" xfId="0" applyFill="1" applyBorder="1"/>
    <xf numFmtId="2" fontId="0" fillId="7" borderId="1" xfId="0" applyNumberFormat="1" applyFill="1" applyBorder="1"/>
    <xf numFmtId="165" fontId="6" fillId="7" borderId="0" xfId="0" applyNumberFormat="1" applyFont="1" applyFill="1"/>
    <xf numFmtId="0" fontId="0" fillId="5" borderId="0" xfId="0" applyFill="1"/>
    <xf numFmtId="165" fontId="0" fillId="0" borderId="0" xfId="0" applyNumberFormat="1"/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9" fontId="3" fillId="7" borderId="6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15</xdr:row>
      <xdr:rowOff>35720</xdr:rowOff>
    </xdr:from>
    <xdr:to>
      <xdr:col>7</xdr:col>
      <xdr:colOff>738373</xdr:colOff>
      <xdr:row>20</xdr:row>
      <xdr:rowOff>83344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CD14130-30AD-4A7E-9BBA-30D6F966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" y="4293395"/>
          <a:ext cx="3860192" cy="1238249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15</xdr:row>
      <xdr:rowOff>55563</xdr:rowOff>
    </xdr:from>
    <xdr:to>
      <xdr:col>13</xdr:col>
      <xdr:colOff>318558</xdr:colOff>
      <xdr:row>19</xdr:row>
      <xdr:rowOff>184195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15263F91-4138-4ABC-BEFB-1EDC8CAE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6" y="4313238"/>
          <a:ext cx="4140199" cy="1081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707572</xdr:colOff>
      <xdr:row>14</xdr:row>
      <xdr:rowOff>81643</xdr:rowOff>
    </xdr:from>
    <xdr:to>
      <xdr:col>9</xdr:col>
      <xdr:colOff>354034</xdr:colOff>
      <xdr:row>19</xdr:row>
      <xdr:rowOff>40821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5422B633-CC79-42D1-923D-F93F5FBA5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872" y="3977368"/>
          <a:ext cx="3875562" cy="1149803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296331</xdr:colOff>
      <xdr:row>20</xdr:row>
      <xdr:rowOff>222250</xdr:rowOff>
    </xdr:from>
    <xdr:to>
      <xdr:col>16</xdr:col>
      <xdr:colOff>265540</xdr:colOff>
      <xdr:row>29</xdr:row>
      <xdr:rowOff>211666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C2D6FC51-0935-463D-A19A-CB15AA8C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5748" y="5651500"/>
          <a:ext cx="9017959" cy="2180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87FC-F5ED-478F-AB28-1D13C3801ECF}">
  <dimension ref="A1:V24"/>
  <sheetViews>
    <sheetView tabSelected="1" topLeftCell="A2" zoomScale="90" zoomScaleNormal="90" workbookViewId="0">
      <selection activeCell="Q3" sqref="Q3"/>
    </sheetView>
  </sheetViews>
  <sheetFormatPr defaultRowHeight="15" x14ac:dyDescent="0.25"/>
  <cols>
    <col min="1" max="1" width="12.7109375" customWidth="1"/>
    <col min="2" max="4" width="8.5703125" customWidth="1"/>
    <col min="5" max="5" width="6.42578125" customWidth="1"/>
    <col min="6" max="6" width="1.5703125" customWidth="1"/>
    <col min="7" max="7" width="1.28515625" customWidth="1"/>
    <col min="8" max="8" width="12.7109375" customWidth="1"/>
    <col min="9" max="9" width="13.28515625" customWidth="1"/>
    <col min="10" max="10" width="10.7109375" customWidth="1"/>
    <col min="11" max="11" width="9.42578125" customWidth="1"/>
    <col min="12" max="12" width="11.7109375" customWidth="1"/>
    <col min="13" max="13" width="12.140625" customWidth="1"/>
    <col min="14" max="14" width="12.28515625" customWidth="1"/>
    <col min="15" max="15" width="11.28515625" customWidth="1"/>
    <col min="16" max="16" width="1.42578125" hidden="1" customWidth="1"/>
    <col min="17" max="17" width="9.42578125" customWidth="1"/>
    <col min="18" max="18" width="10.140625" customWidth="1"/>
    <col min="19" max="19" width="11.85546875" customWidth="1"/>
    <col min="20" max="20" width="13.28515625" customWidth="1"/>
    <col min="21" max="21" width="8.85546875" customWidth="1"/>
    <col min="22" max="22" width="11" customWidth="1"/>
  </cols>
  <sheetData>
    <row r="1" spans="1:22" ht="18.600000000000001" customHeight="1" thickBot="1" x14ac:dyDescent="0.3">
      <c r="A1" s="66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R1" s="66" t="s">
        <v>41</v>
      </c>
      <c r="S1" s="67"/>
      <c r="T1" s="67"/>
      <c r="U1" s="38"/>
      <c r="V1" s="39"/>
    </row>
    <row r="2" spans="1:22" ht="73.5" customHeight="1" thickBot="1" x14ac:dyDescent="0.3">
      <c r="A2" s="40" t="s">
        <v>0</v>
      </c>
      <c r="B2" s="41" t="s">
        <v>49</v>
      </c>
      <c r="C2" s="41" t="s">
        <v>50</v>
      </c>
      <c r="D2" s="41" t="s">
        <v>51</v>
      </c>
      <c r="E2" s="41"/>
      <c r="F2" s="41"/>
      <c r="G2" s="41"/>
      <c r="H2" s="41" t="s">
        <v>66</v>
      </c>
      <c r="I2" s="41" t="s">
        <v>11</v>
      </c>
      <c r="J2" s="41" t="s">
        <v>4</v>
      </c>
      <c r="K2" s="41" t="s">
        <v>3</v>
      </c>
      <c r="L2" s="41" t="s">
        <v>5</v>
      </c>
      <c r="M2" s="41" t="s">
        <v>6</v>
      </c>
      <c r="N2" s="41" t="s">
        <v>7</v>
      </c>
      <c r="O2" s="41" t="s">
        <v>65</v>
      </c>
      <c r="P2" s="41"/>
      <c r="R2" s="42" t="s">
        <v>42</v>
      </c>
      <c r="S2" s="42" t="s">
        <v>43</v>
      </c>
      <c r="T2" s="43" t="s">
        <v>13</v>
      </c>
      <c r="U2" s="44" t="s">
        <v>28</v>
      </c>
      <c r="V2" s="44" t="s">
        <v>29</v>
      </c>
    </row>
    <row r="3" spans="1:22" ht="18.75" x14ac:dyDescent="0.25">
      <c r="A3" s="5" t="s">
        <v>54</v>
      </c>
      <c r="B3" s="5">
        <v>3</v>
      </c>
      <c r="C3" s="5">
        <f>B3</f>
        <v>3</v>
      </c>
      <c r="D3" s="45">
        <f>$E$24</f>
        <v>1.6666666666666665</v>
      </c>
      <c r="E3" s="45"/>
      <c r="F3" s="45"/>
      <c r="G3" s="45"/>
      <c r="H3" s="8">
        <f>D3*C3</f>
        <v>5</v>
      </c>
      <c r="I3" s="46">
        <f>1.5+2.5/H3^0.5</f>
        <v>2.6180339887498949</v>
      </c>
      <c r="J3" s="8">
        <f>H3*I3</f>
        <v>13.090169943749475</v>
      </c>
      <c r="K3" s="1">
        <v>4</v>
      </c>
      <c r="L3" s="1">
        <v>200</v>
      </c>
      <c r="M3" s="9">
        <f>7.568/19.02</f>
        <v>0.39789695057833857</v>
      </c>
      <c r="N3" s="57">
        <v>1.2430000000000001</v>
      </c>
      <c r="O3" s="46">
        <v>0.88339999999999996</v>
      </c>
      <c r="P3" s="1"/>
      <c r="Q3">
        <f>(1+0.62*(M3)^0.4*(1-M3)^0.9)*0.015</f>
        <v>1.9074693410270255E-2</v>
      </c>
      <c r="R3" s="71">
        <v>0.5</v>
      </c>
      <c r="S3" s="47">
        <v>200</v>
      </c>
      <c r="T3" s="47">
        <v>19.02</v>
      </c>
      <c r="U3" s="47">
        <v>0.3</v>
      </c>
      <c r="V3" s="47">
        <v>6.8079999999999998</v>
      </c>
    </row>
    <row r="4" spans="1:22" ht="18.75" x14ac:dyDescent="0.25">
      <c r="A4" s="5" t="s">
        <v>55</v>
      </c>
      <c r="B4" s="5">
        <v>5</v>
      </c>
      <c r="C4" s="5">
        <f>B4+C3</f>
        <v>8</v>
      </c>
      <c r="D4" s="45">
        <f t="shared" ref="D4:D12" si="0">$E$24</f>
        <v>1.6666666666666665</v>
      </c>
      <c r="E4" s="45"/>
      <c r="F4" s="45"/>
      <c r="G4" s="45"/>
      <c r="H4" s="8">
        <f>D4*C4</f>
        <v>13.333333333333332</v>
      </c>
      <c r="I4" s="46">
        <f t="shared" ref="I4:I12" si="1">1.5+2.5/H4^0.5</f>
        <v>2.1846531968814578</v>
      </c>
      <c r="J4" s="8">
        <f>H4*I4</f>
        <v>29.128709291752767</v>
      </c>
      <c r="K4" s="1">
        <v>0.1</v>
      </c>
      <c r="L4" s="1">
        <v>630</v>
      </c>
      <c r="M4" s="9">
        <f>19.09/59.92</f>
        <v>0.31859145527369825</v>
      </c>
      <c r="N4" s="57">
        <v>0.37640000000000001</v>
      </c>
      <c r="O4" s="46">
        <v>0.30020000000000002</v>
      </c>
      <c r="P4" s="1"/>
      <c r="Q4">
        <f t="shared" ref="Q4:Q12" si="2">(1+0.62*(M4)^0.4*(1-M4)^0.9)*0.015</f>
        <v>1.9167191089002857E-2</v>
      </c>
      <c r="R4" s="72"/>
      <c r="S4" s="47">
        <v>250</v>
      </c>
      <c r="T4" s="47">
        <v>23.78</v>
      </c>
      <c r="U4" s="47">
        <v>0.215</v>
      </c>
      <c r="V4" s="47">
        <v>10.46</v>
      </c>
    </row>
    <row r="5" spans="1:22" ht="18.75" x14ac:dyDescent="0.25">
      <c r="A5" s="5" t="s">
        <v>56</v>
      </c>
      <c r="B5" s="5">
        <v>5</v>
      </c>
      <c r="C5" s="5">
        <f>B5</f>
        <v>5</v>
      </c>
      <c r="D5" s="45">
        <f t="shared" si="0"/>
        <v>1.6666666666666665</v>
      </c>
      <c r="E5" s="45"/>
      <c r="F5" s="45"/>
      <c r="G5" s="45"/>
      <c r="H5" s="8">
        <f t="shared" ref="H5:H12" si="3">D5*C5</f>
        <v>8.3333333333333321</v>
      </c>
      <c r="I5" s="46">
        <f t="shared" si="1"/>
        <v>2.3660254037844388</v>
      </c>
      <c r="J5" s="8">
        <f t="shared" ref="J5:J12" si="4">H5*I5</f>
        <v>19.716878364870322</v>
      </c>
      <c r="K5" s="1">
        <v>0.1</v>
      </c>
      <c r="L5" s="1">
        <v>630</v>
      </c>
      <c r="M5" s="9">
        <f>15.66/59.92</f>
        <v>0.26134846461949263</v>
      </c>
      <c r="N5" s="57">
        <v>0.3357</v>
      </c>
      <c r="O5" s="46">
        <v>0.29880000000000001</v>
      </c>
      <c r="P5" s="1"/>
      <c r="Q5">
        <f t="shared" si="2"/>
        <v>1.9139678122280443E-2</v>
      </c>
      <c r="R5" s="72"/>
      <c r="S5" s="47">
        <v>315</v>
      </c>
      <c r="T5" s="47">
        <v>29.96</v>
      </c>
      <c r="U5" s="47">
        <v>0.16</v>
      </c>
      <c r="V5" s="47">
        <v>16.7</v>
      </c>
    </row>
    <row r="6" spans="1:22" ht="18.75" x14ac:dyDescent="0.25">
      <c r="A6" s="5" t="s">
        <v>57</v>
      </c>
      <c r="B6" s="5">
        <v>0</v>
      </c>
      <c r="C6" s="5">
        <f>B6+C5</f>
        <v>5</v>
      </c>
      <c r="D6" s="45">
        <f t="shared" si="0"/>
        <v>1.6666666666666665</v>
      </c>
      <c r="E6" s="45"/>
      <c r="F6" s="45"/>
      <c r="G6" s="45"/>
      <c r="H6" s="8">
        <f t="shared" si="3"/>
        <v>8.3333333333333321</v>
      </c>
      <c r="I6" s="46">
        <f t="shared" si="1"/>
        <v>2.3660254037844388</v>
      </c>
      <c r="J6" s="8">
        <f t="shared" si="4"/>
        <v>19.716878364870322</v>
      </c>
      <c r="K6" s="1">
        <v>3</v>
      </c>
      <c r="L6" s="1">
        <v>630</v>
      </c>
      <c r="M6" s="9">
        <f>6.687/59.92</f>
        <v>0.11159879839786382</v>
      </c>
      <c r="N6" s="57">
        <v>1.143</v>
      </c>
      <c r="O6" s="46">
        <v>1.7</v>
      </c>
      <c r="P6" s="1"/>
      <c r="Q6">
        <f t="shared" si="2"/>
        <v>1.8477722935461849E-2</v>
      </c>
      <c r="R6" s="72"/>
      <c r="S6" s="47">
        <v>355</v>
      </c>
      <c r="T6" s="47">
        <v>33.76</v>
      </c>
      <c r="U6" s="47">
        <v>0.13500000000000001</v>
      </c>
      <c r="V6" s="47">
        <v>21.09</v>
      </c>
    </row>
    <row r="7" spans="1:22" ht="18.75" x14ac:dyDescent="0.25">
      <c r="A7" s="5" t="s">
        <v>58</v>
      </c>
      <c r="B7" s="5">
        <v>5</v>
      </c>
      <c r="C7" s="5">
        <f>B7+C4+C5</f>
        <v>18</v>
      </c>
      <c r="D7" s="45">
        <f t="shared" si="0"/>
        <v>1.6666666666666665</v>
      </c>
      <c r="E7" s="45"/>
      <c r="F7" s="45"/>
      <c r="G7" s="45"/>
      <c r="H7" s="8">
        <f t="shared" si="3"/>
        <v>29.999999999999996</v>
      </c>
      <c r="I7" s="46">
        <f t="shared" si="1"/>
        <v>1.9564354645876385</v>
      </c>
      <c r="J7" s="8">
        <f t="shared" si="4"/>
        <v>58.693063937629148</v>
      </c>
      <c r="K7" s="1">
        <v>2</v>
      </c>
      <c r="L7" s="1">
        <v>630</v>
      </c>
      <c r="M7" s="9">
        <f>12.73/59.92</f>
        <v>0.21244993324432576</v>
      </c>
      <c r="N7" s="57">
        <v>1.341</v>
      </c>
      <c r="O7" s="46">
        <v>1.345</v>
      </c>
      <c r="P7" s="1"/>
      <c r="Q7">
        <f t="shared" si="2"/>
        <v>1.9036788012639656E-2</v>
      </c>
      <c r="R7" s="72"/>
      <c r="S7" s="47">
        <v>400</v>
      </c>
      <c r="T7" s="47">
        <v>38.04</v>
      </c>
      <c r="U7" s="47">
        <v>0.115</v>
      </c>
      <c r="V7" s="47">
        <v>26.77</v>
      </c>
    </row>
    <row r="8" spans="1:22" ht="18.75" x14ac:dyDescent="0.25">
      <c r="A8" s="5" t="s">
        <v>59</v>
      </c>
      <c r="B8" s="5">
        <v>10</v>
      </c>
      <c r="C8" s="5">
        <f>B8</f>
        <v>10</v>
      </c>
      <c r="D8" s="45">
        <f t="shared" si="0"/>
        <v>1.6666666666666665</v>
      </c>
      <c r="E8" s="45"/>
      <c r="F8" s="45"/>
      <c r="G8" s="45"/>
      <c r="H8" s="8">
        <f t="shared" si="3"/>
        <v>16.666666666666664</v>
      </c>
      <c r="I8" s="46">
        <f t="shared" si="1"/>
        <v>2.1123724356957947</v>
      </c>
      <c r="J8" s="8">
        <f t="shared" si="4"/>
        <v>35.206207261596575</v>
      </c>
      <c r="K8" s="1">
        <v>0.1</v>
      </c>
      <c r="L8" s="1">
        <v>630</v>
      </c>
      <c r="M8" s="9">
        <f>21.2/59.92</f>
        <v>0.35380507343124162</v>
      </c>
      <c r="N8" s="57">
        <v>0.39439999999999997</v>
      </c>
      <c r="O8" s="46">
        <v>0.29749999999999999</v>
      </c>
      <c r="P8" s="1"/>
      <c r="Q8">
        <f t="shared" si="2"/>
        <v>1.9143007892136719E-2</v>
      </c>
      <c r="R8" s="48">
        <v>0.6</v>
      </c>
      <c r="S8" s="49">
        <v>500</v>
      </c>
      <c r="T8" s="49">
        <v>47.56</v>
      </c>
      <c r="U8" s="50">
        <v>8.5000000000000006E-2</v>
      </c>
      <c r="V8" s="49">
        <v>56.09</v>
      </c>
    </row>
    <row r="9" spans="1:22" ht="18.75" x14ac:dyDescent="0.25">
      <c r="A9" s="5" t="s">
        <v>60</v>
      </c>
      <c r="B9" s="5">
        <v>5</v>
      </c>
      <c r="C9" s="5">
        <f>B9+C8</f>
        <v>15</v>
      </c>
      <c r="D9" s="45">
        <f t="shared" si="0"/>
        <v>1.6666666666666665</v>
      </c>
      <c r="E9" s="45"/>
      <c r="F9" s="45"/>
      <c r="G9" s="45"/>
      <c r="H9" s="8">
        <f t="shared" si="3"/>
        <v>24.999999999999996</v>
      </c>
      <c r="I9" s="46">
        <f t="shared" si="1"/>
        <v>2</v>
      </c>
      <c r="J9" s="8">
        <f t="shared" si="4"/>
        <v>49.999999999999993</v>
      </c>
      <c r="K9" s="1">
        <v>1</v>
      </c>
      <c r="L9" s="1">
        <v>630</v>
      </c>
      <c r="M9" s="9">
        <f>13.99/59.92</f>
        <v>0.23347797062750333</v>
      </c>
      <c r="N9" s="57">
        <v>0.99890000000000001</v>
      </c>
      <c r="O9" s="46">
        <v>0.94830000000000003</v>
      </c>
      <c r="P9" s="1"/>
      <c r="Q9">
        <f t="shared" si="2"/>
        <v>1.9091226173976183E-2</v>
      </c>
      <c r="R9" s="73">
        <v>0.7</v>
      </c>
      <c r="S9" s="51">
        <v>630</v>
      </c>
      <c r="T9" s="52">
        <v>59.92</v>
      </c>
      <c r="U9" s="53">
        <v>6.5000000000000002E-2</v>
      </c>
      <c r="V9" s="52">
        <v>113.2</v>
      </c>
    </row>
    <row r="10" spans="1:22" ht="18.75" x14ac:dyDescent="0.25">
      <c r="A10" s="5" t="s">
        <v>61</v>
      </c>
      <c r="B10" s="5">
        <v>10</v>
      </c>
      <c r="C10" s="5">
        <f>B10</f>
        <v>10</v>
      </c>
      <c r="D10" s="45">
        <f t="shared" si="0"/>
        <v>1.6666666666666665</v>
      </c>
      <c r="E10" s="45"/>
      <c r="F10" s="54"/>
      <c r="G10" s="45"/>
      <c r="H10" s="8">
        <f t="shared" si="3"/>
        <v>16.666666666666664</v>
      </c>
      <c r="I10" s="46">
        <f t="shared" si="1"/>
        <v>2.1123724356957947</v>
      </c>
      <c r="J10" s="8">
        <f t="shared" si="4"/>
        <v>35.206207261596575</v>
      </c>
      <c r="K10" s="1">
        <v>2</v>
      </c>
      <c r="L10" s="1">
        <v>315</v>
      </c>
      <c r="M10" s="9">
        <f>12.8/29.96</f>
        <v>0.42723631508678239</v>
      </c>
      <c r="N10" s="57">
        <v>1.224</v>
      </c>
      <c r="O10" s="46">
        <v>0.84040000000000004</v>
      </c>
      <c r="P10" s="1"/>
      <c r="Q10">
        <f t="shared" si="2"/>
        <v>1.9008003940495136E-2</v>
      </c>
      <c r="R10" s="74"/>
      <c r="S10" s="51">
        <v>700</v>
      </c>
      <c r="T10" s="52">
        <v>700</v>
      </c>
      <c r="U10" s="53">
        <v>5.0999999999999997E-2</v>
      </c>
      <c r="V10" s="52">
        <v>151.80000000000001</v>
      </c>
    </row>
    <row r="11" spans="1:22" ht="18.75" x14ac:dyDescent="0.25">
      <c r="A11" s="5" t="s">
        <v>62</v>
      </c>
      <c r="B11" s="5">
        <v>5</v>
      </c>
      <c r="C11" s="5">
        <f>B11+C9+C10</f>
        <v>30</v>
      </c>
      <c r="D11" s="45">
        <f t="shared" si="0"/>
        <v>1.6666666666666665</v>
      </c>
      <c r="E11" s="45"/>
      <c r="F11" s="54"/>
      <c r="G11" s="45"/>
      <c r="H11" s="8">
        <f t="shared" si="3"/>
        <v>49.999999999999993</v>
      </c>
      <c r="I11" s="46">
        <f t="shared" si="1"/>
        <v>1.8535533905932737</v>
      </c>
      <c r="J11" s="8">
        <f t="shared" si="4"/>
        <v>92.677669529663675</v>
      </c>
      <c r="K11" s="1">
        <v>1</v>
      </c>
      <c r="L11" s="1">
        <v>630</v>
      </c>
      <c r="M11" s="9">
        <f>19.24/59.92</f>
        <v>0.32109479305740984</v>
      </c>
      <c r="N11" s="57">
        <v>1.1859999999999999</v>
      </c>
      <c r="O11" s="46">
        <v>0.94130000000000003</v>
      </c>
      <c r="P11" s="1"/>
      <c r="Q11">
        <f t="shared" si="2"/>
        <v>1.9166433738614059E-2</v>
      </c>
      <c r="R11" s="74"/>
      <c r="S11" s="51">
        <v>800</v>
      </c>
      <c r="T11" s="52">
        <v>800</v>
      </c>
      <c r="U11" s="53">
        <v>4.4999999999999998E-2</v>
      </c>
      <c r="V11" s="52">
        <v>203.5</v>
      </c>
    </row>
    <row r="12" spans="1:22" ht="18.75" x14ac:dyDescent="0.25">
      <c r="A12" s="5" t="s">
        <v>63</v>
      </c>
      <c r="B12" s="1">
        <v>0</v>
      </c>
      <c r="C12" s="1">
        <f>B12+C7+C11</f>
        <v>48</v>
      </c>
      <c r="D12" s="45">
        <f t="shared" si="0"/>
        <v>1.6666666666666665</v>
      </c>
      <c r="E12" s="1"/>
      <c r="F12" s="1"/>
      <c r="G12" s="1"/>
      <c r="H12" s="8">
        <f t="shared" si="3"/>
        <v>80</v>
      </c>
      <c r="I12" s="46">
        <f t="shared" si="1"/>
        <v>1.7795084971874737</v>
      </c>
      <c r="J12" s="8">
        <f t="shared" si="4"/>
        <v>142.36067977499789</v>
      </c>
      <c r="K12" s="1">
        <v>2</v>
      </c>
      <c r="L12" s="1">
        <v>630</v>
      </c>
      <c r="M12" s="9">
        <f>20.1/59.92</f>
        <v>0.3354472630173565</v>
      </c>
      <c r="N12" s="57">
        <v>1.7150000000000001</v>
      </c>
      <c r="O12" s="46">
        <v>1.331</v>
      </c>
      <c r="P12" s="1"/>
      <c r="Q12">
        <f t="shared" si="2"/>
        <v>1.9159193785738288E-2</v>
      </c>
      <c r="R12" s="74"/>
      <c r="S12" s="51">
        <v>900</v>
      </c>
      <c r="T12" s="52">
        <v>900</v>
      </c>
      <c r="U12" s="53">
        <v>3.7999999999999999E-2</v>
      </c>
      <c r="V12" s="52">
        <v>256.10000000000002</v>
      </c>
    </row>
    <row r="13" spans="1:22" ht="18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6"/>
      <c r="O13" s="46"/>
      <c r="P13" s="1"/>
      <c r="R13" s="74"/>
      <c r="S13" s="51">
        <v>1000</v>
      </c>
      <c r="T13" s="52">
        <v>1000</v>
      </c>
      <c r="U13" s="53">
        <v>3.2000000000000001E-2</v>
      </c>
      <c r="V13" s="52">
        <v>311.2</v>
      </c>
    </row>
    <row r="14" spans="1:22" ht="18.75" x14ac:dyDescent="0.25">
      <c r="A14" s="1"/>
      <c r="B14" s="1">
        <f>SUM(B3:B13)</f>
        <v>48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9"/>
      <c r="N14" s="57"/>
      <c r="O14" s="46"/>
      <c r="P14" s="1"/>
      <c r="R14" s="74"/>
      <c r="S14" s="51">
        <v>1100</v>
      </c>
      <c r="T14" s="52">
        <v>1100</v>
      </c>
      <c r="U14" s="53">
        <v>2.8000000000000001E-2</v>
      </c>
      <c r="V14" s="52">
        <v>375.3</v>
      </c>
    </row>
    <row r="15" spans="1:22" ht="18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R15" s="74"/>
      <c r="S15" s="51">
        <v>1200</v>
      </c>
      <c r="T15" s="52">
        <v>1200</v>
      </c>
      <c r="U15" s="53">
        <v>2.5000000000000001E-2</v>
      </c>
      <c r="V15" s="52">
        <v>447.3</v>
      </c>
    </row>
    <row r="16" spans="1:22" ht="18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R16" s="74"/>
      <c r="S16" s="51">
        <v>1300</v>
      </c>
      <c r="T16" s="52">
        <v>1300</v>
      </c>
      <c r="U16" s="53">
        <v>2.3E-2</v>
      </c>
      <c r="V16" s="52">
        <v>531.1</v>
      </c>
    </row>
    <row r="17" spans="1:22" ht="18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R17" s="74"/>
      <c r="S17" s="51">
        <v>1400</v>
      </c>
      <c r="T17" s="52">
        <v>1400</v>
      </c>
      <c r="U17" s="53">
        <v>2.1000000000000001E-2</v>
      </c>
      <c r="V17" s="52">
        <v>647.20000000000005</v>
      </c>
    </row>
    <row r="18" spans="1:22" ht="18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R18" s="74"/>
      <c r="S18" s="51">
        <v>1500</v>
      </c>
      <c r="T18" s="52">
        <v>1500</v>
      </c>
      <c r="U18" s="53">
        <v>1.9E-2</v>
      </c>
      <c r="V18" s="52">
        <v>707</v>
      </c>
    </row>
    <row r="19" spans="1:22" ht="18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R19" s="75"/>
      <c r="S19" s="51">
        <v>1600</v>
      </c>
      <c r="T19" s="52">
        <v>1600</v>
      </c>
      <c r="U19" s="53">
        <v>1.7000000000000001E-2</v>
      </c>
      <c r="V19" s="52">
        <v>794.4</v>
      </c>
    </row>
    <row r="20" spans="1:22" ht="18.75" x14ac:dyDescent="0.3">
      <c r="R20" s="55" t="s">
        <v>44</v>
      </c>
    </row>
    <row r="21" spans="1:22" ht="15.75" thickBot="1" x14ac:dyDescent="0.3">
      <c r="R21" s="17" t="s">
        <v>45</v>
      </c>
    </row>
    <row r="22" spans="1:22" ht="19.5" thickBot="1" x14ac:dyDescent="0.3">
      <c r="A22" s="35" t="s">
        <v>14</v>
      </c>
      <c r="B22" s="36"/>
      <c r="C22" s="36"/>
      <c r="D22" s="36"/>
      <c r="E22" s="37"/>
      <c r="R22" s="18" t="s">
        <v>46</v>
      </c>
      <c r="S22" s="17"/>
    </row>
    <row r="23" spans="1:22" ht="76.5" x14ac:dyDescent="0.25">
      <c r="A23" s="33" t="s">
        <v>37</v>
      </c>
      <c r="B23" s="33" t="s">
        <v>38</v>
      </c>
      <c r="C23" s="33" t="s">
        <v>52</v>
      </c>
      <c r="D23" s="56" t="s">
        <v>47</v>
      </c>
      <c r="E23" s="56" t="s">
        <v>10</v>
      </c>
      <c r="R23" s="19" t="s">
        <v>30</v>
      </c>
    </row>
    <row r="24" spans="1:22" ht="18.75" x14ac:dyDescent="0.25">
      <c r="A24" s="1">
        <v>400</v>
      </c>
      <c r="B24" s="1">
        <v>200</v>
      </c>
      <c r="C24" s="9">
        <v>0.2</v>
      </c>
      <c r="D24" s="6">
        <f xml:space="preserve"> (A24*B24*1.5)/(24*60*60)</f>
        <v>1.3888888888888888</v>
      </c>
      <c r="E24" s="7">
        <f xml:space="preserve"> D24*(1+C24)</f>
        <v>1.6666666666666665</v>
      </c>
      <c r="F24" t="s">
        <v>48</v>
      </c>
    </row>
  </sheetData>
  <mergeCells count="4">
    <mergeCell ref="A1:P1"/>
    <mergeCell ref="R1:T1"/>
    <mergeCell ref="R3:R7"/>
    <mergeCell ref="R9:R19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4002-F362-4595-9A1D-7FDC548AC725}">
  <dimension ref="A1:Y37"/>
  <sheetViews>
    <sheetView topLeftCell="A2" zoomScale="90" zoomScaleNormal="90" workbookViewId="0">
      <selection activeCell="P13" sqref="P13"/>
    </sheetView>
  </sheetViews>
  <sheetFormatPr defaultRowHeight="15" x14ac:dyDescent="0.25"/>
  <cols>
    <col min="1" max="1" width="8.28515625" customWidth="1"/>
    <col min="2" max="2" width="10.5703125" customWidth="1"/>
    <col min="3" max="3" width="11" customWidth="1"/>
    <col min="4" max="4" width="8.85546875" customWidth="1"/>
    <col min="5" max="5" width="3.140625" customWidth="1"/>
    <col min="6" max="6" width="9.5703125" customWidth="1"/>
    <col min="7" max="7" width="11" customWidth="1"/>
    <col min="8" max="8" width="10.7109375" customWidth="1"/>
    <col min="10" max="10" width="9.7109375" customWidth="1"/>
    <col min="11" max="11" width="11.28515625" customWidth="1"/>
    <col min="12" max="12" width="10.7109375" customWidth="1"/>
    <col min="13" max="13" width="9.140625" customWidth="1"/>
    <col min="14" max="14" width="10.42578125" customWidth="1"/>
    <col min="15" max="15" width="9.85546875" customWidth="1"/>
    <col min="16" max="16" width="11" customWidth="1"/>
    <col min="17" max="17" width="8.140625" customWidth="1"/>
    <col min="18" max="18" width="1" customWidth="1"/>
    <col min="19" max="19" width="8.42578125" customWidth="1"/>
    <col min="20" max="20" width="12.85546875" customWidth="1"/>
    <col min="21" max="21" width="14.42578125" customWidth="1"/>
    <col min="22" max="22" width="12.5703125" customWidth="1"/>
    <col min="24" max="24" width="12.140625" customWidth="1"/>
  </cols>
  <sheetData>
    <row r="1" spans="1:25" ht="18.600000000000001" customHeight="1" thickBot="1" x14ac:dyDescent="0.3">
      <c r="A1" s="66" t="s">
        <v>64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S1" s="20" t="s">
        <v>31</v>
      </c>
      <c r="T1" s="17"/>
      <c r="U1" s="21"/>
      <c r="W1" s="14"/>
      <c r="X1" s="14"/>
    </row>
    <row r="2" spans="1:25" ht="63.75" thickBot="1" x14ac:dyDescent="0.3">
      <c r="A2" s="3" t="s">
        <v>0</v>
      </c>
      <c r="B2" s="4" t="s">
        <v>1</v>
      </c>
      <c r="C2" s="4" t="s">
        <v>15</v>
      </c>
      <c r="D2" s="4" t="s">
        <v>67</v>
      </c>
      <c r="E2" s="3" t="s">
        <v>16</v>
      </c>
      <c r="F2" s="3" t="s">
        <v>17</v>
      </c>
      <c r="G2" s="3" t="s">
        <v>2</v>
      </c>
      <c r="H2" s="4" t="s">
        <v>4</v>
      </c>
      <c r="I2" s="4" t="s">
        <v>3</v>
      </c>
      <c r="J2" s="4" t="s">
        <v>5</v>
      </c>
      <c r="K2" s="4" t="s">
        <v>6</v>
      </c>
      <c r="L2" s="4" t="s">
        <v>7</v>
      </c>
      <c r="M2" s="4" t="s">
        <v>53</v>
      </c>
      <c r="N2" s="4" t="s">
        <v>8</v>
      </c>
      <c r="O2" s="4" t="s">
        <v>9</v>
      </c>
      <c r="P2" s="4" t="s">
        <v>65</v>
      </c>
      <c r="S2" s="27" t="s">
        <v>32</v>
      </c>
      <c r="T2" s="29" t="s">
        <v>13</v>
      </c>
      <c r="U2" s="29" t="s">
        <v>28</v>
      </c>
      <c r="V2" s="22" t="s">
        <v>29</v>
      </c>
    </row>
    <row r="3" spans="1:25" ht="18.75" x14ac:dyDescent="0.3">
      <c r="A3" s="5" t="s">
        <v>18</v>
      </c>
      <c r="B3" s="5">
        <v>5</v>
      </c>
      <c r="C3" s="1">
        <f>B3</f>
        <v>5</v>
      </c>
      <c r="D3" s="58">
        <v>10</v>
      </c>
      <c r="E3" s="1"/>
      <c r="F3" s="7">
        <f>0.5*C3</f>
        <v>2.5</v>
      </c>
      <c r="G3" s="7">
        <f>2.7777*$B$26*((D3/$B$27)^$B$25-1)/(1+(O3/60/$B$23))^$B$24</f>
        <v>454.16897637036345</v>
      </c>
      <c r="H3" s="7">
        <f>F3*G3</f>
        <v>1135.4224409259086</v>
      </c>
      <c r="I3" s="1">
        <v>4</v>
      </c>
      <c r="J3" s="1">
        <v>800</v>
      </c>
      <c r="K3" s="9">
        <f>45.63/80</f>
        <v>0.57037500000000008</v>
      </c>
      <c r="L3" s="57">
        <v>3.883</v>
      </c>
      <c r="M3" s="1">
        <v>100</v>
      </c>
      <c r="N3" s="7">
        <f>(M3/L3/60)</f>
        <v>0.42922139239419693</v>
      </c>
      <c r="O3" s="7">
        <v>10</v>
      </c>
      <c r="P3" s="47">
        <v>2.327</v>
      </c>
      <c r="Q3" s="65">
        <f>(1+0.62*(K3)^0.4*(1-K3)^0.9)*0.015</f>
        <v>1.8473183521893564E-2</v>
      </c>
      <c r="S3" s="69">
        <v>0.7</v>
      </c>
      <c r="T3" s="28">
        <v>400</v>
      </c>
      <c r="U3" s="30">
        <v>0.43</v>
      </c>
      <c r="V3" s="31">
        <v>101</v>
      </c>
    </row>
    <row r="4" spans="1:25" ht="18.75" x14ac:dyDescent="0.3">
      <c r="A4" s="5" t="s">
        <v>19</v>
      </c>
      <c r="B4" s="5">
        <v>3</v>
      </c>
      <c r="C4" s="1">
        <f>B4+C3</f>
        <v>8</v>
      </c>
      <c r="D4" s="58">
        <v>10</v>
      </c>
      <c r="E4" s="1"/>
      <c r="F4" s="7">
        <f t="shared" ref="F4:F12" si="0">0.5*C4</f>
        <v>4</v>
      </c>
      <c r="G4" s="7">
        <f>2.7777*$B$26*((D4/$B$27)^$B$25-1)/(1+(O4/60/$B$23))^$B$24</f>
        <v>447.50207711303381</v>
      </c>
      <c r="H4" s="7">
        <f t="shared" ref="H4:H12" si="1">F4*G4</f>
        <v>1790.0083084521352</v>
      </c>
      <c r="I4" s="1">
        <v>0.1</v>
      </c>
      <c r="J4" s="1">
        <v>1700</v>
      </c>
      <c r="K4" s="9">
        <f>114.4/170</f>
        <v>0.67294117647058826</v>
      </c>
      <c r="L4" s="57">
        <v>1.1020000000000001</v>
      </c>
      <c r="M4" s="1">
        <v>100</v>
      </c>
      <c r="N4" s="7">
        <f t="shared" ref="N4:N12" si="2">(M4/L4/60)</f>
        <v>1.512401693889897</v>
      </c>
      <c r="O4" s="6">
        <f>O3+N3</f>
        <v>10.429221392394197</v>
      </c>
      <c r="P4" s="47">
        <v>0.63500000000000001</v>
      </c>
      <c r="Q4" s="65">
        <f t="shared" ref="Q4:Q12" si="3">(1+0.62*(K4)^0.4*(1-K4)^0.9)*0.015</f>
        <v>1.7902933404958406E-2</v>
      </c>
      <c r="S4" s="69"/>
      <c r="T4" s="23">
        <v>500</v>
      </c>
      <c r="U4" s="24">
        <v>0.32</v>
      </c>
      <c r="V4" s="25">
        <v>155</v>
      </c>
    </row>
    <row r="5" spans="1:25" ht="18.75" x14ac:dyDescent="0.3">
      <c r="A5" s="5" t="s">
        <v>20</v>
      </c>
      <c r="B5" s="5"/>
      <c r="C5" s="1"/>
      <c r="D5" s="58"/>
      <c r="E5" s="1"/>
      <c r="F5" s="7"/>
      <c r="G5" s="7"/>
      <c r="H5" s="7"/>
      <c r="I5" s="1"/>
      <c r="J5" s="1"/>
      <c r="K5" s="9"/>
      <c r="L5" s="57"/>
      <c r="M5" s="1"/>
      <c r="N5" s="7"/>
      <c r="O5" s="6"/>
      <c r="P5" s="34"/>
      <c r="Q5" s="65"/>
      <c r="S5" s="69"/>
      <c r="T5" s="23">
        <v>600</v>
      </c>
      <c r="U5" s="24">
        <v>0.25</v>
      </c>
      <c r="V5" s="25">
        <v>222</v>
      </c>
    </row>
    <row r="6" spans="1:25" ht="18.75" x14ac:dyDescent="0.3">
      <c r="A6" s="5" t="s">
        <v>21</v>
      </c>
      <c r="B6" s="5">
        <v>10</v>
      </c>
      <c r="C6" s="1">
        <f>B6</f>
        <v>10</v>
      </c>
      <c r="D6" s="58">
        <v>5</v>
      </c>
      <c r="E6" s="1"/>
      <c r="F6" s="7">
        <f t="shared" si="0"/>
        <v>5</v>
      </c>
      <c r="G6" s="7">
        <f t="shared" ref="G6:G12" si="4">2.7777*$B$26*((D6/$B$27)^$B$25-1)/(1+(O6/60/$B$23))^$B$24</f>
        <v>374.70388074881913</v>
      </c>
      <c r="H6" s="7">
        <f t="shared" si="1"/>
        <v>1873.5194037440956</v>
      </c>
      <c r="I6" s="1">
        <v>3</v>
      </c>
      <c r="J6" s="1">
        <v>900</v>
      </c>
      <c r="K6" s="9">
        <f>63.22/90</f>
        <v>0.70244444444444443</v>
      </c>
      <c r="L6" s="57">
        <v>3.9239999999999999</v>
      </c>
      <c r="M6" s="1">
        <v>100</v>
      </c>
      <c r="N6" s="7">
        <f t="shared" si="2"/>
        <v>0.42473666326877335</v>
      </c>
      <c r="O6" s="6">
        <v>10</v>
      </c>
      <c r="P6" s="47">
        <v>2.2389999999999999</v>
      </c>
      <c r="Q6" s="65">
        <f t="shared" si="3"/>
        <v>1.7712307958584146E-2</v>
      </c>
      <c r="S6" s="69"/>
      <c r="T6" s="23">
        <v>700</v>
      </c>
      <c r="U6" s="24">
        <v>0.2</v>
      </c>
      <c r="V6" s="25">
        <v>300</v>
      </c>
    </row>
    <row r="7" spans="1:25" ht="18.75" x14ac:dyDescent="0.3">
      <c r="A7" s="5" t="s">
        <v>22</v>
      </c>
      <c r="B7" s="5">
        <v>5</v>
      </c>
      <c r="C7" s="1">
        <f>B7+C6+C4</f>
        <v>23</v>
      </c>
      <c r="D7" s="58">
        <v>10</v>
      </c>
      <c r="E7" s="1"/>
      <c r="F7" s="7">
        <f t="shared" si="0"/>
        <v>11.5</v>
      </c>
      <c r="G7" s="7">
        <f t="shared" si="4"/>
        <v>425.75188968552499</v>
      </c>
      <c r="H7" s="7">
        <f t="shared" si="1"/>
        <v>4896.1467313835374</v>
      </c>
      <c r="I7" s="1">
        <v>2</v>
      </c>
      <c r="J7" s="1">
        <v>1700</v>
      </c>
      <c r="K7" s="9">
        <f>86.27/170</f>
        <v>0.50747058823529412</v>
      </c>
      <c r="L7" s="57">
        <v>4.234</v>
      </c>
      <c r="M7" s="1">
        <v>100</v>
      </c>
      <c r="N7" s="7">
        <f t="shared" si="2"/>
        <v>0.39363879703983623</v>
      </c>
      <c r="O7" s="7">
        <f>MAX(O4+N4,O6+N6)</f>
        <v>11.941623086284094</v>
      </c>
      <c r="P7" s="47">
        <v>2.69</v>
      </c>
      <c r="Q7" s="65">
        <f t="shared" si="3"/>
        <v>1.8748316477419105E-2</v>
      </c>
      <c r="S7" s="69"/>
      <c r="T7" s="23">
        <v>800</v>
      </c>
      <c r="U7" s="24">
        <v>0.17</v>
      </c>
      <c r="V7" s="25">
        <v>395</v>
      </c>
    </row>
    <row r="8" spans="1:25" ht="18.75" x14ac:dyDescent="0.3">
      <c r="A8" s="5" t="s">
        <v>23</v>
      </c>
      <c r="B8" s="5">
        <v>5</v>
      </c>
      <c r="C8" s="1">
        <f>B8</f>
        <v>5</v>
      </c>
      <c r="D8" s="58">
        <v>5</v>
      </c>
      <c r="E8" s="7"/>
      <c r="F8" s="7">
        <f t="shared" si="0"/>
        <v>2.5</v>
      </c>
      <c r="G8" s="7">
        <f t="shared" si="4"/>
        <v>374.70388074881913</v>
      </c>
      <c r="H8" s="7">
        <f t="shared" si="1"/>
        <v>936.7597018720478</v>
      </c>
      <c r="I8" s="1">
        <v>0.1</v>
      </c>
      <c r="J8" s="1">
        <v>1700</v>
      </c>
      <c r="K8" s="9">
        <f>79.02/170</f>
        <v>0.46482352941176469</v>
      </c>
      <c r="L8" s="57">
        <v>0.90649999999999997</v>
      </c>
      <c r="M8" s="1">
        <v>100</v>
      </c>
      <c r="N8" s="7">
        <f t="shared" si="2"/>
        <v>1.8385732671446957</v>
      </c>
      <c r="O8" s="7">
        <v>10</v>
      </c>
      <c r="P8" s="34">
        <v>0.60629999999999995</v>
      </c>
      <c r="Q8" s="65">
        <f t="shared" si="3"/>
        <v>1.8899828422413358E-2</v>
      </c>
      <c r="S8" s="69"/>
      <c r="T8" s="23">
        <v>900</v>
      </c>
      <c r="U8" s="24">
        <v>0.14499999999999999</v>
      </c>
      <c r="V8" s="25">
        <v>500</v>
      </c>
    </row>
    <row r="9" spans="1:25" ht="18.75" x14ac:dyDescent="0.3">
      <c r="A9" s="5" t="s">
        <v>24</v>
      </c>
      <c r="B9" s="5">
        <v>5</v>
      </c>
      <c r="C9" s="1">
        <f>B9+C8</f>
        <v>10</v>
      </c>
      <c r="D9" s="58">
        <v>5</v>
      </c>
      <c r="E9" s="7"/>
      <c r="F9" s="7">
        <f t="shared" si="0"/>
        <v>5</v>
      </c>
      <c r="G9" s="7">
        <f t="shared" si="4"/>
        <v>352.41576751630822</v>
      </c>
      <c r="H9" s="7">
        <f t="shared" si="1"/>
        <v>1762.0788375815412</v>
      </c>
      <c r="I9" s="1">
        <v>1</v>
      </c>
      <c r="J9" s="1">
        <v>1700</v>
      </c>
      <c r="K9" s="9">
        <f>59.59/170</f>
        <v>0.35052941176470592</v>
      </c>
      <c r="L9" s="57">
        <v>2.484</v>
      </c>
      <c r="M9" s="1">
        <v>100</v>
      </c>
      <c r="N9" s="7">
        <f t="shared" si="2"/>
        <v>0.6709608158883521</v>
      </c>
      <c r="O9" s="7">
        <f>O8+N8</f>
        <v>11.838573267144696</v>
      </c>
      <c r="P9" s="34">
        <v>2.0379999999999998</v>
      </c>
      <c r="Q9" s="65">
        <f t="shared" si="3"/>
        <v>1.9146448482106927E-2</v>
      </c>
      <c r="S9" s="69"/>
      <c r="T9" s="23">
        <v>1000</v>
      </c>
      <c r="U9" s="24">
        <v>0.125</v>
      </c>
      <c r="V9" s="25">
        <v>615</v>
      </c>
    </row>
    <row r="10" spans="1:25" ht="18.75" x14ac:dyDescent="0.3">
      <c r="A10" s="5" t="s">
        <v>25</v>
      </c>
      <c r="B10" s="5">
        <v>5</v>
      </c>
      <c r="C10" s="1">
        <f>B10</f>
        <v>5</v>
      </c>
      <c r="D10" s="58">
        <v>5</v>
      </c>
      <c r="E10" s="7"/>
      <c r="F10" s="7">
        <f t="shared" si="0"/>
        <v>2.5</v>
      </c>
      <c r="G10" s="7">
        <f t="shared" si="4"/>
        <v>374.70388074881913</v>
      </c>
      <c r="H10" s="7">
        <f t="shared" si="1"/>
        <v>936.7597018720478</v>
      </c>
      <c r="I10" s="1">
        <v>2</v>
      </c>
      <c r="J10" s="1">
        <v>800</v>
      </c>
      <c r="K10" s="9">
        <f>50.11/80</f>
        <v>0.62637500000000002</v>
      </c>
      <c r="L10" s="57">
        <v>2.827</v>
      </c>
      <c r="M10" s="1">
        <v>100</v>
      </c>
      <c r="N10" s="7">
        <f t="shared" si="2"/>
        <v>0.58955311873599803</v>
      </c>
      <c r="O10" s="7">
        <v>10</v>
      </c>
      <c r="P10" s="34">
        <v>1.744</v>
      </c>
      <c r="Q10" s="65">
        <f t="shared" si="3"/>
        <v>1.8179867691048797E-2</v>
      </c>
      <c r="S10" s="69"/>
      <c r="T10" s="23">
        <v>1100</v>
      </c>
      <c r="U10" s="24">
        <v>0.113</v>
      </c>
      <c r="V10" s="25">
        <v>754</v>
      </c>
    </row>
    <row r="11" spans="1:25" ht="18.75" x14ac:dyDescent="0.3">
      <c r="A11" s="5" t="s">
        <v>26</v>
      </c>
      <c r="B11" s="5">
        <v>0</v>
      </c>
      <c r="C11" s="1">
        <f>B11+C10+C9</f>
        <v>15</v>
      </c>
      <c r="D11" s="58">
        <v>5</v>
      </c>
      <c r="E11" s="7"/>
      <c r="F11" s="7">
        <f t="shared" si="0"/>
        <v>7.5</v>
      </c>
      <c r="G11" s="7">
        <f t="shared" si="4"/>
        <v>345.04181080185293</v>
      </c>
      <c r="H11" s="7">
        <f t="shared" si="1"/>
        <v>2587.813581013897</v>
      </c>
      <c r="I11" s="1">
        <v>1</v>
      </c>
      <c r="J11" s="1">
        <v>1700</v>
      </c>
      <c r="K11" s="9">
        <f>73.21/170</f>
        <v>0.43064705882352938</v>
      </c>
      <c r="L11" s="57">
        <v>2.7669999999999999</v>
      </c>
      <c r="M11" s="1">
        <v>100</v>
      </c>
      <c r="N11" s="7">
        <f t="shared" si="2"/>
        <v>0.60233706782315388</v>
      </c>
      <c r="O11" s="7">
        <f>MAX(O10+N10,O9+N9)</f>
        <v>12.509534083033047</v>
      </c>
      <c r="P11" s="34">
        <v>2.0379999999999998</v>
      </c>
      <c r="Q11" s="65">
        <f t="shared" si="3"/>
        <v>1.8999216857403241E-2</v>
      </c>
      <c r="S11" s="69"/>
      <c r="T11" s="23">
        <v>1200</v>
      </c>
      <c r="U11" s="24">
        <v>0.1</v>
      </c>
      <c r="V11" s="25">
        <v>894</v>
      </c>
    </row>
    <row r="12" spans="1:25" ht="18.75" x14ac:dyDescent="0.3">
      <c r="A12" s="5" t="s">
        <v>27</v>
      </c>
      <c r="B12" s="5">
        <v>10</v>
      </c>
      <c r="C12" s="1">
        <f>B12+C11+C7</f>
        <v>48</v>
      </c>
      <c r="D12" s="58">
        <v>10</v>
      </c>
      <c r="E12" s="7"/>
      <c r="F12" s="7">
        <f t="shared" si="0"/>
        <v>24</v>
      </c>
      <c r="G12" s="7">
        <f t="shared" si="4"/>
        <v>410.5623311535079</v>
      </c>
      <c r="H12" s="7">
        <f t="shared" si="1"/>
        <v>9853.4959476841905</v>
      </c>
      <c r="I12" s="1">
        <v>2</v>
      </c>
      <c r="J12" s="1">
        <v>1900</v>
      </c>
      <c r="K12" s="9">
        <f>122.4/190</f>
        <v>0.64421052631578946</v>
      </c>
      <c r="L12" s="57">
        <v>5.1029999999999998</v>
      </c>
      <c r="M12" s="1">
        <v>100</v>
      </c>
      <c r="N12" s="7">
        <f t="shared" si="2"/>
        <v>0.32660526487686981</v>
      </c>
      <c r="O12" s="7">
        <f>MAX(O11+N11,O7+N7)</f>
        <v>13.111871150856201</v>
      </c>
      <c r="P12" s="34">
        <v>3.1040000000000001</v>
      </c>
      <c r="Q12" s="65">
        <f t="shared" si="3"/>
        <v>1.8077285998243021E-2</v>
      </c>
      <c r="S12" s="69"/>
      <c r="T12" s="23">
        <v>1300</v>
      </c>
      <c r="U12" s="26">
        <v>0.09</v>
      </c>
      <c r="V12" s="25">
        <v>1051</v>
      </c>
      <c r="W12" s="10"/>
      <c r="X12" s="10"/>
      <c r="Y12" s="15"/>
    </row>
    <row r="13" spans="1:25" ht="18.75" x14ac:dyDescent="0.3">
      <c r="A13" s="5"/>
      <c r="B13" s="5"/>
      <c r="C13" s="1"/>
      <c r="D13" s="7"/>
      <c r="E13" s="7"/>
      <c r="F13" s="7"/>
      <c r="G13" s="7"/>
      <c r="H13" s="7"/>
      <c r="I13" s="1"/>
      <c r="J13" s="1"/>
      <c r="K13" s="9"/>
      <c r="L13" s="1"/>
      <c r="M13" s="1"/>
      <c r="N13" s="8"/>
      <c r="O13" s="7"/>
      <c r="P13" s="34"/>
      <c r="S13" s="69"/>
      <c r="T13" s="23">
        <v>1400</v>
      </c>
      <c r="U13" s="26">
        <v>0.08</v>
      </c>
      <c r="V13" s="25">
        <v>1207</v>
      </c>
    </row>
    <row r="14" spans="1:25" ht="18.75" x14ac:dyDescent="0.3">
      <c r="A14" s="5"/>
      <c r="B14" s="5">
        <f>SUM(B3:B12)</f>
        <v>48</v>
      </c>
      <c r="C14" s="1"/>
      <c r="D14" s="7"/>
      <c r="E14" s="7"/>
      <c r="F14" s="7"/>
      <c r="G14" s="7"/>
      <c r="H14" s="7"/>
      <c r="I14" s="1"/>
      <c r="J14" s="1"/>
      <c r="K14" s="9"/>
      <c r="L14" s="1"/>
      <c r="M14" s="1"/>
      <c r="N14" s="8"/>
      <c r="O14" s="7"/>
      <c r="P14" s="1"/>
      <c r="S14" s="69"/>
      <c r="T14" s="23">
        <v>1500</v>
      </c>
      <c r="U14" s="26">
        <v>7.4999999999999997E-2</v>
      </c>
      <c r="V14" s="25">
        <v>1405</v>
      </c>
    </row>
    <row r="15" spans="1:25" ht="18.7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S15" s="69"/>
      <c r="T15" s="23">
        <v>1600</v>
      </c>
      <c r="U15" s="26">
        <v>6.8000000000000005E-2</v>
      </c>
      <c r="V15" s="25">
        <v>1589</v>
      </c>
    </row>
    <row r="16" spans="1:25" ht="18.75" x14ac:dyDescent="0.3">
      <c r="S16" s="69"/>
      <c r="T16" s="23">
        <v>1700</v>
      </c>
      <c r="U16" s="26">
        <v>6.3E-2</v>
      </c>
      <c r="V16" s="25">
        <v>1798</v>
      </c>
    </row>
    <row r="17" spans="1:23" ht="18.75" x14ac:dyDescent="0.3">
      <c r="S17" s="69"/>
      <c r="T17" s="23">
        <v>1800</v>
      </c>
      <c r="U17" s="26">
        <v>5.7000000000000002E-2</v>
      </c>
      <c r="V17" s="25">
        <v>1991</v>
      </c>
    </row>
    <row r="18" spans="1:23" ht="18.75" x14ac:dyDescent="0.3">
      <c r="S18" s="69"/>
      <c r="T18" s="23">
        <v>1900</v>
      </c>
      <c r="U18" s="26">
        <v>5.3499999999999999E-2</v>
      </c>
      <c r="V18" s="25">
        <v>2228</v>
      </c>
    </row>
    <row r="19" spans="1:23" ht="18.75" x14ac:dyDescent="0.3">
      <c r="S19" s="69"/>
      <c r="T19" s="23">
        <v>2000</v>
      </c>
      <c r="U19" s="26">
        <v>0.05</v>
      </c>
      <c r="V19" s="25">
        <v>2470</v>
      </c>
    </row>
    <row r="20" spans="1:23" ht="18.75" x14ac:dyDescent="0.3">
      <c r="A20" s="16" t="s">
        <v>39</v>
      </c>
      <c r="S20" s="69"/>
      <c r="T20" s="23">
        <v>2100</v>
      </c>
      <c r="U20" s="26">
        <v>4.7E-2</v>
      </c>
      <c r="V20" s="25">
        <v>2728</v>
      </c>
      <c r="W20" s="12" t="s">
        <v>35</v>
      </c>
    </row>
    <row r="21" spans="1:23" ht="18.75" x14ac:dyDescent="0.3">
      <c r="A21" s="16" t="s">
        <v>40</v>
      </c>
      <c r="S21" s="69"/>
      <c r="T21" s="23">
        <v>2200</v>
      </c>
      <c r="U21" s="26">
        <v>4.3999999999999997E-2</v>
      </c>
      <c r="V21" s="25">
        <v>2988</v>
      </c>
      <c r="W21" s="32" t="s">
        <v>36</v>
      </c>
    </row>
    <row r="22" spans="1:23" ht="18.75" x14ac:dyDescent="0.3">
      <c r="A22" s="64" t="s">
        <v>77</v>
      </c>
      <c r="B22" s="64"/>
      <c r="S22" s="69"/>
      <c r="T22" s="23">
        <v>2300</v>
      </c>
      <c r="U22" s="26">
        <v>4.2000000000000003E-2</v>
      </c>
      <c r="V22" s="25">
        <v>3286</v>
      </c>
    </row>
    <row r="23" spans="1:23" ht="18.75" x14ac:dyDescent="0.3">
      <c r="A23" t="s">
        <v>72</v>
      </c>
      <c r="B23" s="59">
        <v>0.18</v>
      </c>
      <c r="S23" s="69"/>
      <c r="T23" s="23">
        <v>2400</v>
      </c>
      <c r="U23" s="26">
        <v>0.04</v>
      </c>
      <c r="V23" s="25">
        <v>3593</v>
      </c>
    </row>
    <row r="24" spans="1:23" ht="18.75" x14ac:dyDescent="0.3">
      <c r="A24" t="s">
        <v>73</v>
      </c>
      <c r="B24" s="59">
        <v>0.72399999999999998</v>
      </c>
      <c r="S24" s="69"/>
      <c r="T24" s="23">
        <v>2500</v>
      </c>
      <c r="U24" s="26">
        <v>3.6999999999999998E-2</v>
      </c>
      <c r="V24" s="25">
        <v>3853</v>
      </c>
    </row>
    <row r="25" spans="1:23" ht="18.75" x14ac:dyDescent="0.3">
      <c r="A25" t="s">
        <v>74</v>
      </c>
      <c r="B25" s="59">
        <v>0.18</v>
      </c>
      <c r="S25" s="69"/>
      <c r="T25" s="23">
        <v>2600</v>
      </c>
      <c r="U25" s="26">
        <v>3.5999999999999997E-2</v>
      </c>
      <c r="V25" s="25">
        <v>4219</v>
      </c>
    </row>
    <row r="26" spans="1:23" ht="18.75" x14ac:dyDescent="0.3">
      <c r="A26" t="s">
        <v>75</v>
      </c>
      <c r="B26" s="59">
        <v>129.20599999999999</v>
      </c>
      <c r="S26" s="69"/>
      <c r="T26" s="23">
        <v>2700</v>
      </c>
      <c r="U26" s="26">
        <v>3.4000000000000002E-2</v>
      </c>
      <c r="V26" s="25">
        <v>4534</v>
      </c>
    </row>
    <row r="27" spans="1:23" ht="18.75" x14ac:dyDescent="0.3">
      <c r="A27" t="s">
        <v>76</v>
      </c>
      <c r="B27" s="59">
        <v>2.1000000000000001E-2</v>
      </c>
      <c r="S27" s="69"/>
      <c r="T27" s="23">
        <v>2800</v>
      </c>
      <c r="U27" s="26">
        <v>3.2000000000000001E-2</v>
      </c>
      <c r="V27" s="25">
        <v>4847</v>
      </c>
    </row>
    <row r="28" spans="1:23" ht="18.75" x14ac:dyDescent="0.3">
      <c r="A28" t="s">
        <v>68</v>
      </c>
      <c r="B28" s="60">
        <v>10</v>
      </c>
      <c r="S28" s="69"/>
      <c r="T28" s="23">
        <v>2900</v>
      </c>
      <c r="U28" s="26">
        <v>3.1E-2</v>
      </c>
      <c r="V28" s="25">
        <v>5239</v>
      </c>
    </row>
    <row r="29" spans="1:23" ht="18.75" x14ac:dyDescent="0.3">
      <c r="A29" t="s">
        <v>69</v>
      </c>
      <c r="B29" s="63">
        <f>12.59/60</f>
        <v>0.20983333333333334</v>
      </c>
      <c r="S29" s="69"/>
      <c r="T29" s="23">
        <v>3000</v>
      </c>
      <c r="U29" s="26">
        <v>2.9000000000000001E-2</v>
      </c>
      <c r="V29" s="25">
        <v>5546</v>
      </c>
    </row>
    <row r="30" spans="1:23" ht="18.75" x14ac:dyDescent="0.3">
      <c r="A30" s="61" t="s">
        <v>70</v>
      </c>
      <c r="B30" s="62">
        <f>$B$26*((B28/$B$27)^$B$25-1)/(1+(B29/$B$23))^$B$24</f>
        <v>150.18691619683764</v>
      </c>
      <c r="S30" s="69"/>
      <c r="T30" s="23">
        <v>3100</v>
      </c>
      <c r="U30" s="26">
        <v>2.8000000000000001E-2</v>
      </c>
      <c r="V30" s="25">
        <v>5948</v>
      </c>
    </row>
    <row r="31" spans="1:23" ht="18.75" x14ac:dyDescent="0.3">
      <c r="A31" s="61" t="s">
        <v>71</v>
      </c>
      <c r="B31" s="62">
        <f>B29*B30</f>
        <v>31.514221248636435</v>
      </c>
      <c r="S31" s="69"/>
      <c r="T31" s="23">
        <v>3200</v>
      </c>
      <c r="U31" s="26">
        <v>2.6499999999999999E-2</v>
      </c>
      <c r="V31" s="25">
        <v>6297</v>
      </c>
    </row>
    <row r="32" spans="1:23" ht="18.75" x14ac:dyDescent="0.3">
      <c r="S32" s="69"/>
      <c r="T32" s="23">
        <v>3300</v>
      </c>
      <c r="U32" s="26">
        <v>2.5999999999999999E-2</v>
      </c>
      <c r="V32" s="25">
        <v>6771</v>
      </c>
    </row>
    <row r="33" spans="19:22" ht="18.75" x14ac:dyDescent="0.3">
      <c r="S33" s="70"/>
      <c r="T33" s="23">
        <v>3400</v>
      </c>
      <c r="U33" s="26">
        <v>2.5000000000000001E-2</v>
      </c>
      <c r="V33" s="25">
        <v>7190</v>
      </c>
    </row>
    <row r="35" spans="19:22" x14ac:dyDescent="0.25">
      <c r="S35" s="17" t="s">
        <v>33</v>
      </c>
      <c r="T35" s="10"/>
      <c r="U35" s="11"/>
    </row>
    <row r="36" spans="19:22" ht="18.75" x14ac:dyDescent="0.3">
      <c r="S36" s="18" t="s">
        <v>34</v>
      </c>
      <c r="U36" s="13"/>
    </row>
    <row r="37" spans="19:22" x14ac:dyDescent="0.25">
      <c r="S37" s="19" t="s">
        <v>30</v>
      </c>
    </row>
  </sheetData>
  <mergeCells count="2">
    <mergeCell ref="A1:P1"/>
    <mergeCell ref="S3:S33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ΛΥΜ_2026m</vt:lpstr>
      <vt:lpstr>ΟΜΒ_2026m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</dc:creator>
  <cp:lastModifiedBy>angelidis.panagiotis angelidis.panagiotis</cp:lastModifiedBy>
  <cp:lastPrinted>2022-04-10T08:50:44Z</cp:lastPrinted>
  <dcterms:created xsi:type="dcterms:W3CDTF">2021-02-13T09:38:10Z</dcterms:created>
  <dcterms:modified xsi:type="dcterms:W3CDTF">2026-03-08T10:56:54Z</dcterms:modified>
</cp:coreProperties>
</file>